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2250" windowWidth="14355" windowHeight="5520" tabRatio="929"/>
  </bookViews>
  <sheets>
    <sheet name="КУРС ЕВРО" sheetId="12" r:id="rId1"/>
    <sheet name="Ворота EP2018" sheetId="7" r:id="rId2"/>
    <sheet name="Двери EP2018(стандарт)" sheetId="22" r:id="rId3"/>
    <sheet name="Двери  EP2018 (расширенная)" sheetId="18" r:id="rId4"/>
    <sheet name="Для клиента (ворота)" sheetId="24" r:id="rId5"/>
    <sheet name="Для клиента (двери-1)" sheetId="25" r:id="rId6"/>
    <sheet name="Для клиента (двери-2)" sheetId="26" r:id="rId7"/>
    <sheet name="для обработчиков" sheetId="13" r:id="rId8"/>
    <sheet name="Артикулы 2018" sheetId="15" r:id="rId9"/>
  </sheets>
  <definedNames>
    <definedName name="Print_Area" localSheetId="1">'Ворота EP2018'!$A$1:$M$39</definedName>
    <definedName name="_xlnm.Print_Area" localSheetId="8">'Артикулы 2018'!$A$1:$R$22</definedName>
    <definedName name="_xlnm.Print_Area" localSheetId="1">'Ворота EP2018'!$A$1:$M$52</definedName>
    <definedName name="_xlnm.Print_Area" localSheetId="3">'Двери  EP2018 (расширенная)'!$A$1:$H$52</definedName>
    <definedName name="_xlnm.Print_Area" localSheetId="2">'Двери EP2018(стандарт)'!$A$1:$I$25</definedName>
    <definedName name="_xlnm.Print_Area" localSheetId="4">'Для клиента (ворота)'!$A$1:$J$51</definedName>
    <definedName name="_xlnm.Print_Area" localSheetId="6">'Для клиента (двери-2)'!$A$1:$G$56</definedName>
  </definedNames>
  <calcPr calcId="145621"/>
</workbook>
</file>

<file path=xl/calcChain.xml><?xml version="1.0" encoding="utf-8"?>
<calcChain xmlns="http://schemas.openxmlformats.org/spreadsheetml/2006/main">
  <c r="J51" i="13" l="1"/>
  <c r="I51" i="13"/>
  <c r="L33" i="13"/>
  <c r="G33" i="13"/>
  <c r="N51" i="13"/>
  <c r="M33" i="13"/>
  <c r="N33" i="13"/>
  <c r="O33" i="13"/>
  <c r="I18" i="24"/>
  <c r="J18" i="24"/>
  <c r="G18" i="18"/>
  <c r="I37" i="7"/>
  <c r="I36" i="7"/>
  <c r="I35" i="7"/>
  <c r="I43" i="7"/>
  <c r="I42" i="7"/>
  <c r="I41" i="7"/>
  <c r="K18" i="7"/>
  <c r="J18" i="7"/>
  <c r="O51" i="13" l="1"/>
  <c r="M51" i="13"/>
  <c r="G51" i="13"/>
  <c r="L51" i="13" s="1"/>
  <c r="F51" i="13"/>
  <c r="N15" i="13"/>
  <c r="M15" i="13"/>
  <c r="L15" i="13"/>
  <c r="L13" i="13"/>
  <c r="F15" i="13"/>
  <c r="G15" i="13" s="1"/>
  <c r="O38" i="7"/>
  <c r="O45" i="7"/>
  <c r="O44" i="7"/>
  <c r="O27" i="7"/>
  <c r="O26" i="7"/>
  <c r="O25" i="7"/>
  <c r="O24" i="7"/>
  <c r="O39" i="7"/>
  <c r="O46" i="7"/>
  <c r="J21" i="24"/>
  <c r="J20" i="24"/>
  <c r="J19" i="24"/>
  <c r="J17" i="24"/>
  <c r="J16" i="24"/>
  <c r="J15" i="24"/>
  <c r="J14" i="24"/>
  <c r="J13" i="24"/>
  <c r="J12" i="24"/>
  <c r="J11" i="24"/>
  <c r="J10" i="24"/>
  <c r="J9" i="24"/>
  <c r="I20" i="24"/>
  <c r="I19" i="24"/>
  <c r="I17" i="24"/>
  <c r="I16" i="24"/>
  <c r="I15" i="24"/>
  <c r="I14" i="24"/>
  <c r="I13" i="24"/>
  <c r="I12" i="24"/>
  <c r="I11" i="24"/>
  <c r="I10" i="24"/>
  <c r="I9" i="24"/>
  <c r="H21" i="24"/>
  <c r="H20" i="24"/>
  <c r="H19" i="24"/>
  <c r="H18" i="24"/>
  <c r="H17" i="24"/>
  <c r="H16" i="24"/>
  <c r="G18" i="26"/>
  <c r="G15" i="26"/>
  <c r="G10" i="26"/>
  <c r="G48" i="26"/>
  <c r="G47" i="26"/>
  <c r="G46" i="26"/>
  <c r="G45" i="26"/>
  <c r="G44" i="26"/>
  <c r="G43" i="26"/>
  <c r="G41" i="26"/>
  <c r="G40" i="26"/>
  <c r="G39" i="26"/>
  <c r="G38" i="26"/>
  <c r="G36" i="26"/>
  <c r="G35" i="26"/>
  <c r="G32" i="26"/>
  <c r="G31" i="26"/>
  <c r="G29" i="26"/>
  <c r="L47" i="18"/>
  <c r="K47" i="18" s="1"/>
  <c r="G47" i="18" s="1"/>
  <c r="L46" i="18"/>
  <c r="L45" i="18"/>
  <c r="K45" i="18" s="1"/>
  <c r="G45" i="18" s="1"/>
  <c r="L44" i="18"/>
  <c r="K44" i="18" s="1"/>
  <c r="G44" i="18" s="1"/>
  <c r="L43" i="18"/>
  <c r="K43" i="18" s="1"/>
  <c r="G43" i="18" s="1"/>
  <c r="L42" i="18"/>
  <c r="K42" i="18" s="1"/>
  <c r="G42" i="18" s="1"/>
  <c r="K46" i="18"/>
  <c r="G46" i="18" s="1"/>
  <c r="L23" i="18"/>
  <c r="L24" i="18"/>
  <c r="L26" i="18"/>
  <c r="K26" i="18" s="1"/>
  <c r="L28" i="18"/>
  <c r="L30" i="18"/>
  <c r="L31" i="18"/>
  <c r="K31" i="18" s="1"/>
  <c r="L34" i="18"/>
  <c r="L35" i="18"/>
  <c r="K35" i="18" s="1"/>
  <c r="L40" i="18"/>
  <c r="K40" i="18" s="1"/>
  <c r="L39" i="18"/>
  <c r="K39" i="18" s="1"/>
  <c r="L38" i="18"/>
  <c r="K38" i="18" s="1"/>
  <c r="L37" i="18"/>
  <c r="K37" i="18" s="1"/>
  <c r="K34" i="18"/>
  <c r="M19" i="22"/>
  <c r="L19" i="22" s="1"/>
  <c r="K30" i="18"/>
  <c r="H42" i="18" l="1"/>
  <c r="H43" i="18"/>
  <c r="H44" i="18"/>
  <c r="H45" i="18"/>
  <c r="H46" i="18"/>
  <c r="H47" i="18"/>
  <c r="K24" i="18"/>
  <c r="K23" i="18"/>
  <c r="H26" i="18"/>
  <c r="G26" i="26" s="1"/>
  <c r="H28" i="18"/>
  <c r="G28" i="26" s="1"/>
  <c r="K28" i="18"/>
  <c r="G28" i="18" s="1"/>
  <c r="H19" i="22" l="1"/>
  <c r="D50" i="18" l="1"/>
  <c r="F54" i="13" l="1"/>
  <c r="H3" i="25" l="1"/>
  <c r="I42" i="13" l="1"/>
  <c r="I43" i="13" s="1"/>
  <c r="I44" i="13" s="1"/>
  <c r="I45" i="13" s="1"/>
  <c r="I46" i="13" s="1"/>
  <c r="I47" i="13" s="1"/>
  <c r="I48" i="13" s="1"/>
  <c r="I49" i="13" s="1"/>
  <c r="I50" i="13" s="1"/>
  <c r="I52" i="13" s="1"/>
  <c r="I53" i="13" s="1"/>
  <c r="G54" i="13"/>
  <c r="H35" i="13"/>
  <c r="H53" i="13" s="1"/>
  <c r="H32" i="13"/>
  <c r="H50" i="13" s="1"/>
  <c r="H31" i="13"/>
  <c r="H49" i="13" s="1"/>
  <c r="H28" i="13"/>
  <c r="H46" i="13" s="1"/>
  <c r="H25" i="13"/>
  <c r="H43" i="13" s="1"/>
  <c r="H24" i="13"/>
  <c r="H42" i="13" s="1"/>
  <c r="H23" i="13"/>
  <c r="H41" i="13" s="1"/>
  <c r="F53" i="13"/>
  <c r="F52" i="13"/>
  <c r="F50" i="13"/>
  <c r="F49" i="13"/>
  <c r="F48" i="13"/>
  <c r="F47" i="13"/>
  <c r="F18" i="13"/>
  <c r="F17" i="13"/>
  <c r="G17" i="13" s="1"/>
  <c r="F16" i="13"/>
  <c r="F14" i="13"/>
  <c r="F13" i="13"/>
  <c r="G13" i="13" s="1"/>
  <c r="F12" i="13"/>
  <c r="F35" i="13"/>
  <c r="F34" i="13"/>
  <c r="F32" i="13"/>
  <c r="F31" i="13"/>
  <c r="G31" i="13" s="1"/>
  <c r="F30" i="13"/>
  <c r="F29" i="13"/>
  <c r="F46" i="13"/>
  <c r="F45" i="13"/>
  <c r="F44" i="13"/>
  <c r="F43" i="13"/>
  <c r="F42" i="13"/>
  <c r="F41" i="13"/>
  <c r="F28" i="13"/>
  <c r="F27" i="13"/>
  <c r="F26" i="13"/>
  <c r="F25" i="13"/>
  <c r="F24" i="13"/>
  <c r="F23" i="13"/>
  <c r="F11" i="13"/>
  <c r="F10" i="13"/>
  <c r="F9" i="13"/>
  <c r="F8" i="13"/>
  <c r="F7" i="13"/>
  <c r="F6" i="13"/>
  <c r="F5" i="13"/>
  <c r="G35" i="13" l="1"/>
  <c r="G49" i="13"/>
  <c r="G53" i="13"/>
  <c r="G46" i="13"/>
  <c r="G50" i="13"/>
  <c r="D49" i="24"/>
  <c r="H31" i="18"/>
  <c r="H30" i="18"/>
  <c r="H40" i="18"/>
  <c r="G40" i="18"/>
  <c r="H39" i="18"/>
  <c r="G39" i="18"/>
  <c r="H38" i="18"/>
  <c r="G38" i="18"/>
  <c r="H37" i="18"/>
  <c r="G37" i="18"/>
  <c r="H35" i="18"/>
  <c r="G35" i="18"/>
  <c r="H34" i="18"/>
  <c r="G34" i="18"/>
  <c r="G31" i="18"/>
  <c r="G30" i="18"/>
  <c r="G26" i="18"/>
  <c r="H24" i="18"/>
  <c r="G24" i="26" s="1"/>
  <c r="G24" i="18"/>
  <c r="H23" i="18"/>
  <c r="G23" i="26" s="1"/>
  <c r="H18" i="18"/>
  <c r="H15" i="18"/>
  <c r="H10" i="18"/>
  <c r="H7" i="18"/>
  <c r="G7" i="26" s="1"/>
  <c r="G23" i="18"/>
  <c r="G15" i="18"/>
  <c r="G10" i="18"/>
  <c r="G7" i="18"/>
  <c r="I3" i="22" l="1"/>
  <c r="P33" i="7"/>
  <c r="P32" i="7"/>
  <c r="P31" i="7"/>
  <c r="E3" i="26" l="1"/>
  <c r="F3" i="18"/>
  <c r="H9" i="13"/>
  <c r="H27" i="13" s="1"/>
  <c r="H45" i="13" s="1"/>
  <c r="H8" i="13"/>
  <c r="H11" i="13" l="1"/>
  <c r="H16" i="13" s="1"/>
  <c r="H26" i="13"/>
  <c r="H44" i="13" s="1"/>
  <c r="G44" i="13" s="1"/>
  <c r="H12" i="13"/>
  <c r="G12" i="13" s="1"/>
  <c r="I24" i="13"/>
  <c r="G43" i="13"/>
  <c r="G42" i="13"/>
  <c r="G41" i="13"/>
  <c r="G23" i="13"/>
  <c r="G14" i="13"/>
  <c r="G10" i="13"/>
  <c r="G9" i="13"/>
  <c r="G8" i="13"/>
  <c r="G7" i="13"/>
  <c r="G6" i="13"/>
  <c r="G5" i="13"/>
  <c r="M1" i="13"/>
  <c r="G45" i="13"/>
  <c r="L12" i="13" l="1"/>
  <c r="G11" i="13"/>
  <c r="L14" i="13"/>
  <c r="M54" i="13"/>
  <c r="M53" i="13"/>
  <c r="O50" i="13"/>
  <c r="M49" i="13"/>
  <c r="O35" i="13"/>
  <c r="O34" i="13"/>
  <c r="O32" i="13"/>
  <c r="O31" i="13"/>
  <c r="N18" i="13"/>
  <c r="M17" i="13"/>
  <c r="N13" i="13"/>
  <c r="N54" i="13"/>
  <c r="O52" i="13"/>
  <c r="M50" i="13"/>
  <c r="O48" i="13"/>
  <c r="N35" i="13"/>
  <c r="N31" i="13"/>
  <c r="M18" i="13"/>
  <c r="N14" i="13"/>
  <c r="M13" i="13"/>
  <c r="N10" i="13"/>
  <c r="N53" i="13"/>
  <c r="N49" i="13"/>
  <c r="N17" i="13"/>
  <c r="O54" i="13"/>
  <c r="O53" i="13"/>
  <c r="N52" i="13"/>
  <c r="O49" i="13"/>
  <c r="N48" i="13"/>
  <c r="M35" i="13"/>
  <c r="M32" i="13"/>
  <c r="M31" i="13"/>
  <c r="N16" i="13"/>
  <c r="M14" i="13"/>
  <c r="N11" i="13"/>
  <c r="M10" i="13"/>
  <c r="N12" i="13"/>
  <c r="L35" i="13"/>
  <c r="L31" i="13"/>
  <c r="N50" i="13"/>
  <c r="L54" i="13"/>
  <c r="L17" i="13"/>
  <c r="L49" i="13"/>
  <c r="L50" i="13"/>
  <c r="L53" i="13"/>
  <c r="L10" i="13"/>
  <c r="H30" i="13"/>
  <c r="M12" i="13"/>
  <c r="L11" i="13"/>
  <c r="H34" i="13"/>
  <c r="M16" i="13"/>
  <c r="H29" i="13"/>
  <c r="M29" i="13" s="1"/>
  <c r="M11" i="13"/>
  <c r="G16" i="13"/>
  <c r="L16" i="13" s="1"/>
  <c r="G18" i="13"/>
  <c r="L18" i="13" s="1"/>
  <c r="L5" i="13"/>
  <c r="O25" i="13"/>
  <c r="O26" i="13"/>
  <c r="M30" i="13"/>
  <c r="M5" i="13"/>
  <c r="L45" i="13"/>
  <c r="M6" i="13"/>
  <c r="N41" i="13"/>
  <c r="M44" i="13"/>
  <c r="M7" i="13"/>
  <c r="M28" i="13"/>
  <c r="M42" i="13"/>
  <c r="N47" i="13"/>
  <c r="O24" i="13"/>
  <c r="N42" i="13"/>
  <c r="O23" i="13"/>
  <c r="M27" i="13"/>
  <c r="M43" i="13"/>
  <c r="L7" i="13"/>
  <c r="L23" i="13"/>
  <c r="L46" i="13"/>
  <c r="L9" i="13"/>
  <c r="O46" i="13"/>
  <c r="L44" i="13"/>
  <c r="N24" i="13"/>
  <c r="O41" i="13"/>
  <c r="L43" i="13"/>
  <c r="M45" i="13"/>
  <c r="O47" i="13"/>
  <c r="L6" i="13"/>
  <c r="L8" i="13"/>
  <c r="I25" i="13"/>
  <c r="G24" i="13"/>
  <c r="L24" i="13" s="1"/>
  <c r="M8" i="13"/>
  <c r="M9" i="13"/>
  <c r="M23" i="13"/>
  <c r="O27" i="13"/>
  <c r="L41" i="13"/>
  <c r="O42" i="13"/>
  <c r="N43" i="13"/>
  <c r="N44" i="13"/>
  <c r="N45" i="13"/>
  <c r="M46" i="13"/>
  <c r="N5" i="13"/>
  <c r="N6" i="13"/>
  <c r="N7" i="13"/>
  <c r="N8" i="13"/>
  <c r="N9" i="13"/>
  <c r="N23" i="13"/>
  <c r="M24" i="13"/>
  <c r="M25" i="13"/>
  <c r="M26" i="13"/>
  <c r="O28" i="13"/>
  <c r="O29" i="13"/>
  <c r="O30" i="13"/>
  <c r="M41" i="13"/>
  <c r="L42" i="13"/>
  <c r="O43" i="13"/>
  <c r="O44" i="13"/>
  <c r="O45" i="13"/>
  <c r="N46" i="13"/>
  <c r="H47" i="13" l="1"/>
  <c r="H52" i="13"/>
  <c r="M34" i="13"/>
  <c r="H48" i="13"/>
  <c r="N25" i="13"/>
  <c r="I26" i="13"/>
  <c r="G25" i="13"/>
  <c r="L25" i="13" s="1"/>
  <c r="M48" i="13" l="1"/>
  <c r="G48" i="13"/>
  <c r="L48" i="13" s="1"/>
  <c r="G47" i="13"/>
  <c r="L47" i="13" s="1"/>
  <c r="M47" i="13"/>
  <c r="M52" i="13"/>
  <c r="G52" i="13"/>
  <c r="L52" i="13" s="1"/>
  <c r="N26" i="13"/>
  <c r="I27" i="13"/>
  <c r="G26" i="13"/>
  <c r="L26" i="13" s="1"/>
  <c r="I28" i="13" l="1"/>
  <c r="N27" i="13"/>
  <c r="G27" i="13"/>
  <c r="L27" i="13" s="1"/>
  <c r="M2" i="7"/>
  <c r="A2" i="7"/>
  <c r="G28" i="13" l="1"/>
  <c r="L28" i="13" s="1"/>
  <c r="I29" i="13"/>
  <c r="G29" i="13" s="1"/>
  <c r="N28" i="13"/>
  <c r="D49" i="7"/>
  <c r="L18" i="7" l="1"/>
  <c r="H18" i="7"/>
  <c r="M18" i="7"/>
  <c r="I18" i="7"/>
  <c r="H41" i="7"/>
  <c r="H44" i="7"/>
  <c r="H36" i="24"/>
  <c r="D33" i="25"/>
  <c r="H43" i="7"/>
  <c r="H46" i="7"/>
  <c r="H42" i="7"/>
  <c r="H37" i="7"/>
  <c r="H45" i="7"/>
  <c r="H36" i="7"/>
  <c r="H39" i="7"/>
  <c r="H38" i="7"/>
  <c r="D23" i="22"/>
  <c r="I33" i="7"/>
  <c r="H33" i="24" s="1"/>
  <c r="H41" i="24"/>
  <c r="I12" i="7"/>
  <c r="H12" i="24" s="1"/>
  <c r="I32" i="7"/>
  <c r="H32" i="24" s="1"/>
  <c r="I31" i="7"/>
  <c r="H31" i="24" s="1"/>
  <c r="H35" i="24"/>
  <c r="H42" i="24"/>
  <c r="I46" i="7"/>
  <c r="H46" i="24" s="1"/>
  <c r="I27" i="7"/>
  <c r="H27" i="24" s="1"/>
  <c r="K20" i="7"/>
  <c r="K15" i="7"/>
  <c r="K11" i="7"/>
  <c r="M21" i="7"/>
  <c r="M16" i="7"/>
  <c r="M12" i="7"/>
  <c r="M8" i="7"/>
  <c r="J8" i="24" s="1"/>
  <c r="I17" i="7"/>
  <c r="I13" i="7"/>
  <c r="H13" i="24" s="1"/>
  <c r="I8" i="7"/>
  <c r="J20" i="7"/>
  <c r="H19" i="7"/>
  <c r="H37" i="24"/>
  <c r="I44" i="7"/>
  <c r="H44" i="24" s="1"/>
  <c r="I26" i="7"/>
  <c r="H26" i="24" s="1"/>
  <c r="K19" i="7"/>
  <c r="K14" i="7"/>
  <c r="K10" i="7"/>
  <c r="M20" i="7"/>
  <c r="M15" i="7"/>
  <c r="M11" i="7"/>
  <c r="I21" i="7"/>
  <c r="I16" i="7"/>
  <c r="I11" i="7"/>
  <c r="H11" i="24" s="1"/>
  <c r="L21" i="7"/>
  <c r="H20" i="7"/>
  <c r="L17" i="7"/>
  <c r="I45" i="7"/>
  <c r="H45" i="24" s="1"/>
  <c r="I39" i="7"/>
  <c r="H39" i="24" s="1"/>
  <c r="I25" i="7"/>
  <c r="H25" i="24" s="1"/>
  <c r="K17" i="7"/>
  <c r="K13" i="7"/>
  <c r="K9" i="7"/>
  <c r="M19" i="7"/>
  <c r="M14" i="7"/>
  <c r="M10" i="7"/>
  <c r="I15" i="7"/>
  <c r="H15" i="24" s="1"/>
  <c r="I10" i="7"/>
  <c r="H10" i="24" s="1"/>
  <c r="H21" i="7"/>
  <c r="L19" i="7"/>
  <c r="J17" i="7"/>
  <c r="H43" i="24"/>
  <c r="H35" i="7"/>
  <c r="I38" i="7"/>
  <c r="H38" i="24" s="1"/>
  <c r="I24" i="7"/>
  <c r="H24" i="24" s="1"/>
  <c r="K16" i="7"/>
  <c r="K12" i="7"/>
  <c r="K8" i="7"/>
  <c r="I8" i="24" s="1"/>
  <c r="M17" i="7"/>
  <c r="M13" i="7"/>
  <c r="M9" i="7"/>
  <c r="I19" i="7"/>
  <c r="I9" i="7"/>
  <c r="H9" i="24" s="1"/>
  <c r="L20" i="7"/>
  <c r="H17" i="7"/>
  <c r="I20" i="7"/>
  <c r="I14" i="7"/>
  <c r="H14" i="24" s="1"/>
  <c r="J19" i="7"/>
  <c r="L29" i="13"/>
  <c r="I30" i="13"/>
  <c r="G30" i="13" s="1"/>
  <c r="N29" i="13"/>
  <c r="H32" i="7"/>
  <c r="H33" i="7"/>
  <c r="H31" i="7"/>
  <c r="H8" i="24" l="1"/>
  <c r="I19" i="22"/>
  <c r="H19" i="25" s="1"/>
  <c r="I5" i="22"/>
  <c r="H5" i="25" s="1"/>
  <c r="I16" i="22"/>
  <c r="H16" i="25" s="1"/>
  <c r="I12" i="22"/>
  <c r="H12" i="25" s="1"/>
  <c r="I7" i="22"/>
  <c r="H7" i="25" s="1"/>
  <c r="H16" i="22"/>
  <c r="H12" i="22"/>
  <c r="H7" i="22"/>
  <c r="I15" i="22"/>
  <c r="H15" i="25" s="1"/>
  <c r="I10" i="22"/>
  <c r="H10" i="25" s="1"/>
  <c r="I6" i="22"/>
  <c r="H6" i="25" s="1"/>
  <c r="H15" i="22"/>
  <c r="H10" i="22"/>
  <c r="H6" i="22"/>
  <c r="H9" i="22"/>
  <c r="I17" i="22"/>
  <c r="H17" i="25" s="1"/>
  <c r="I13" i="22"/>
  <c r="H13" i="25" s="1"/>
  <c r="I8" i="22"/>
  <c r="H8" i="25" s="1"/>
  <c r="H13" i="22"/>
  <c r="I14" i="22"/>
  <c r="H14" i="25" s="1"/>
  <c r="I9" i="22"/>
  <c r="H9" i="25" s="1"/>
  <c r="H14" i="22"/>
  <c r="H5" i="22"/>
  <c r="H17" i="22"/>
  <c r="H8" i="22"/>
  <c r="I32" i="13"/>
  <c r="L30" i="13"/>
  <c r="N30" i="13"/>
  <c r="G32" i="13" l="1"/>
  <c r="L32" i="13" s="1"/>
  <c r="N32" i="13"/>
  <c r="I34" i="13"/>
  <c r="H27" i="7"/>
  <c r="H26" i="7"/>
  <c r="H25" i="7"/>
  <c r="H24" i="7"/>
  <c r="L16" i="7"/>
  <c r="J16" i="7"/>
  <c r="H16" i="7"/>
  <c r="L15" i="7"/>
  <c r="J15" i="7"/>
  <c r="H15" i="7"/>
  <c r="L14" i="7"/>
  <c r="J14" i="7"/>
  <c r="H14" i="7"/>
  <c r="L13" i="7"/>
  <c r="J13" i="7"/>
  <c r="H13" i="7"/>
  <c r="L12" i="7"/>
  <c r="J12" i="7"/>
  <c r="H12" i="7"/>
  <c r="L11" i="7"/>
  <c r="J11" i="7"/>
  <c r="H11" i="7"/>
  <c r="L10" i="7"/>
  <c r="J10" i="7"/>
  <c r="H10" i="7"/>
  <c r="L9" i="7"/>
  <c r="J9" i="7"/>
  <c r="H9" i="7"/>
  <c r="L8" i="7"/>
  <c r="J8" i="7"/>
  <c r="H8" i="7"/>
  <c r="N34" i="13" l="1"/>
  <c r="G34" i="13"/>
  <c r="L34" i="13" s="1"/>
</calcChain>
</file>

<file path=xl/comments1.xml><?xml version="1.0" encoding="utf-8"?>
<comments xmlns="http://schemas.openxmlformats.org/spreadsheetml/2006/main">
  <authors>
    <author>Nikolaev Aleksej</author>
  </authors>
  <commentList>
    <comment ref="N54" authorId="0">
      <text>
        <r>
          <rPr>
            <b/>
            <sz val="9"/>
            <color indexed="81"/>
            <rFont val="Tahoma"/>
            <family val="2"/>
            <charset val="204"/>
          </rPr>
          <t>Nikolaev Aleksej:</t>
        </r>
        <r>
          <rPr>
            <sz val="9"/>
            <color indexed="81"/>
            <rFont val="Tahoma"/>
            <family val="2"/>
            <charset val="204"/>
          </rPr>
          <t xml:space="preserve">
SupraMatic Е 3 BS</t>
        </r>
      </text>
    </comment>
  </commentList>
</comments>
</file>

<file path=xl/sharedStrings.xml><?xml version="1.0" encoding="utf-8"?>
<sst xmlns="http://schemas.openxmlformats.org/spreadsheetml/2006/main" count="641" uniqueCount="189">
  <si>
    <t>2500 x 2125</t>
  </si>
  <si>
    <t>Titan Metallic CH 703</t>
  </si>
  <si>
    <t>2500 x 2250</t>
  </si>
  <si>
    <t>Golden Oak</t>
  </si>
  <si>
    <t>2500 x 2500</t>
  </si>
  <si>
    <t>Dark Oak</t>
  </si>
  <si>
    <t>2750 x 2125</t>
  </si>
  <si>
    <t>2750 x 2250</t>
  </si>
  <si>
    <t>2750 x 2500</t>
  </si>
  <si>
    <t>3000 x 2125</t>
  </si>
  <si>
    <t>3000 x 2250</t>
  </si>
  <si>
    <t>3000 x 2500</t>
  </si>
  <si>
    <t>RAL 8028 Terrabraun</t>
  </si>
  <si>
    <t>RAL 7016 Anthrazitgrau</t>
  </si>
  <si>
    <t>5000 x 2125</t>
  </si>
  <si>
    <t>Продукт по акции</t>
  </si>
  <si>
    <t>Размеры</t>
  </si>
  <si>
    <t>Цена для дилера</t>
  </si>
  <si>
    <t>Розничная стоимость</t>
  </si>
  <si>
    <t>Разбивка стоимости для дилера
по позициям</t>
  </si>
  <si>
    <t>полотно</t>
  </si>
  <si>
    <t>направл.</t>
  </si>
  <si>
    <t>тяга</t>
  </si>
  <si>
    <t xml:space="preserve"> - RAL 8028</t>
  </si>
  <si>
    <t xml:space="preserve"> - RAL 9016</t>
  </si>
  <si>
    <t xml:space="preserve"> - Золотой дуб</t>
  </si>
  <si>
    <t xml:space="preserve"> - Тёмный дуб</t>
  </si>
  <si>
    <t>Гарнитура ручек</t>
  </si>
  <si>
    <t>Привод ProMatic 3</t>
  </si>
  <si>
    <t>ProMatic</t>
  </si>
  <si>
    <t>ручка</t>
  </si>
  <si>
    <t>Курс ЕВРО:</t>
  </si>
  <si>
    <t xml:space="preserve"> - RAL 7016</t>
  </si>
  <si>
    <t xml:space="preserve">RAL 9016 Verkehrsweiß </t>
  </si>
  <si>
    <t>Открывание :</t>
  </si>
  <si>
    <t xml:space="preserve"> - наружу</t>
  </si>
  <si>
    <t xml:space="preserve"> - внутрь</t>
  </si>
  <si>
    <t>Woodgrain</t>
  </si>
  <si>
    <t>Принадлежности</t>
  </si>
  <si>
    <r>
      <rPr>
        <sz val="10"/>
        <rFont val="Arial"/>
        <family val="2"/>
        <charset val="204"/>
      </rPr>
      <t>Пульт</t>
    </r>
    <r>
      <rPr>
        <b/>
        <sz val="10"/>
        <rFont val="Arial"/>
        <family val="2"/>
        <charset val="204"/>
      </rPr>
      <t xml:space="preserve"> RSC2 433MHz</t>
    </r>
    <r>
      <rPr>
        <sz val="10"/>
        <rFont val="Arial"/>
        <family val="2"/>
        <charset val="204"/>
      </rPr>
      <t>, арт. 437680</t>
    </r>
  </si>
  <si>
    <r>
      <rPr>
        <sz val="10"/>
        <rFont val="Arial"/>
        <family val="2"/>
        <charset val="204"/>
      </rPr>
      <t>Приёмник</t>
    </r>
    <r>
      <rPr>
        <b/>
        <sz val="10"/>
        <rFont val="Arial"/>
        <family val="2"/>
        <charset val="204"/>
      </rPr>
      <t xml:space="preserve"> RERE 1</t>
    </r>
    <r>
      <rPr>
        <sz val="10"/>
        <rFont val="Arial"/>
        <family val="2"/>
        <charset val="204"/>
      </rPr>
      <t>, арт. 437398</t>
    </r>
  </si>
  <si>
    <r>
      <rPr>
        <sz val="10"/>
        <rFont val="Arial"/>
        <family val="2"/>
        <charset val="204"/>
      </rPr>
      <t>Приёмник</t>
    </r>
    <r>
      <rPr>
        <b/>
        <sz val="10"/>
        <rFont val="Arial"/>
        <family val="2"/>
        <charset val="204"/>
      </rPr>
      <t xml:space="preserve"> RE 1</t>
    </r>
    <r>
      <rPr>
        <sz val="10"/>
        <rFont val="Arial"/>
        <family val="2"/>
        <charset val="204"/>
      </rPr>
      <t>, арт. 437095</t>
    </r>
  </si>
  <si>
    <r>
      <rPr>
        <sz val="10"/>
        <rFont val="Arial"/>
        <family val="2"/>
        <charset val="204"/>
      </rPr>
      <t>Приёмник</t>
    </r>
    <r>
      <rPr>
        <b/>
        <sz val="10"/>
        <rFont val="Arial"/>
        <family val="2"/>
        <charset val="204"/>
      </rPr>
      <t xml:space="preserve"> HET-2-868(BS)</t>
    </r>
    <r>
      <rPr>
        <sz val="10"/>
        <rFont val="Arial"/>
        <family val="2"/>
        <charset val="204"/>
      </rPr>
      <t>, арт. 436728</t>
    </r>
  </si>
  <si>
    <t>5000 x 2250</t>
  </si>
  <si>
    <t>розница</t>
  </si>
  <si>
    <t>дилер</t>
  </si>
  <si>
    <t>рублей.</t>
  </si>
  <si>
    <t xml:space="preserve"> - Цены рассчитаны по внутреннему курсу, 1 Евро =</t>
  </si>
  <si>
    <t xml:space="preserve"> - В случае изменения установленного курса, прайс будет пересчитан.</t>
  </si>
  <si>
    <t>для дилера</t>
  </si>
  <si>
    <t>в розницу</t>
  </si>
  <si>
    <t xml:space="preserve"> - Цены указаны без учета региональной транспортной наценки ООО "Хёрманн Руссия"</t>
  </si>
  <si>
    <t>Цена в рублях вкл. НДС</t>
  </si>
  <si>
    <t>1 ЕВРО</t>
  </si>
  <si>
    <t>=</t>
  </si>
  <si>
    <t>Прайс действителен с:</t>
  </si>
  <si>
    <t>DecoColor</t>
  </si>
  <si>
    <t>ProPort S</t>
  </si>
  <si>
    <t>Продукт по акции (отдельно)</t>
  </si>
  <si>
    <t>Пластмассовая зубчатая рейка (S6) - 1 метр</t>
  </si>
  <si>
    <t>ProLift + FS10-K</t>
  </si>
  <si>
    <t>ProLift + FS10-M</t>
  </si>
  <si>
    <t>ProLift + FS10-L</t>
  </si>
  <si>
    <t>Гарнитура:</t>
  </si>
  <si>
    <t xml:space="preserve"> - HB 38-2</t>
  </si>
  <si>
    <t xml:space="preserve"> - Нажимная</t>
  </si>
  <si>
    <t>Гарнитура ES0:</t>
  </si>
  <si>
    <t xml:space="preserve"> - нажимная</t>
  </si>
  <si>
    <t xml:space="preserve"> - разные</t>
  </si>
  <si>
    <t>Диапазон размеров LM</t>
  </si>
  <si>
    <t>Ширина:
от 895 до 1270
Высота:
от 1885 до 2260</t>
  </si>
  <si>
    <t>Привод ProLift</t>
  </si>
  <si>
    <t>ProLift</t>
  </si>
  <si>
    <t>Направляющая-Z</t>
  </si>
  <si>
    <t>2125 mm</t>
  </si>
  <si>
    <t>2500 mm</t>
  </si>
  <si>
    <t>2250 mm</t>
  </si>
  <si>
    <t>Направляющая-N</t>
  </si>
  <si>
    <t>Черная пласт.</t>
  </si>
  <si>
    <t>Гарнитура</t>
  </si>
  <si>
    <t>Привод</t>
  </si>
  <si>
    <t>Тяга привода</t>
  </si>
  <si>
    <t>FS10-K</t>
  </si>
  <si>
    <t>FS10-M</t>
  </si>
  <si>
    <t>FS10-L</t>
  </si>
  <si>
    <t>Въездные</t>
  </si>
  <si>
    <t>ProPort D</t>
  </si>
  <si>
    <t>Z</t>
  </si>
  <si>
    <t>x</t>
  </si>
  <si>
    <t>N</t>
  </si>
  <si>
    <t>Золотой Дуб</t>
  </si>
  <si>
    <t>Тёмный Дуб</t>
  </si>
  <si>
    <t>RAL8028</t>
  </si>
  <si>
    <t>RAL9016</t>
  </si>
  <si>
    <t>RAL7016</t>
  </si>
  <si>
    <t>Привод ProMatic3</t>
  </si>
  <si>
    <t>Рек. прайс</t>
  </si>
  <si>
    <t>Привод гаражных ворот</t>
  </si>
  <si>
    <t>Привод откатных ворот</t>
  </si>
  <si>
    <t>Привод распашных ворот</t>
  </si>
  <si>
    <t>Автоматические устройства входной двери</t>
  </si>
  <si>
    <t>...при помощи пульта ДУ</t>
  </si>
  <si>
    <t>...при помощи пульта ДУ и дистанционно
управляемого детектора отпечатков</t>
  </si>
  <si>
    <t>Исполнение RC 2</t>
  </si>
  <si>
    <t>Входная дверь в двухцветном исполнении</t>
  </si>
  <si>
    <t>за дверь</t>
  </si>
  <si>
    <t>за боковой элемент</t>
  </si>
  <si>
    <t>Стандартные размеры</t>
  </si>
  <si>
    <t>Цвет</t>
  </si>
  <si>
    <t>Плёнка</t>
  </si>
  <si>
    <t>Нестандартные размеры</t>
  </si>
  <si>
    <t>RAL 9016</t>
  </si>
  <si>
    <t>RAL 8028</t>
  </si>
  <si>
    <t>RAL 7016</t>
  </si>
  <si>
    <t>Боковые элементы для конструкций с соединениями внахлестку</t>
  </si>
  <si>
    <t>Ворота</t>
  </si>
  <si>
    <t>Двери</t>
  </si>
  <si>
    <t>TPS 010</t>
  </si>
  <si>
    <t>Левая</t>
  </si>
  <si>
    <t>1000х2100</t>
  </si>
  <si>
    <t>Правая</t>
  </si>
  <si>
    <t>THP 700A</t>
  </si>
  <si>
    <t>по</t>
  </si>
  <si>
    <t>LineaMatic</t>
  </si>
  <si>
    <t>LineaMatic P</t>
  </si>
  <si>
    <t>Комплект SK LineaMatic (437989)</t>
  </si>
  <si>
    <t>Комплект SK RotaMatic (437988)</t>
  </si>
  <si>
    <t>Накатной кронштейн (436234)</t>
  </si>
  <si>
    <t>Эл. замок для напольного запирания (436249)</t>
  </si>
  <si>
    <t>RotaMatic 2 (без обогрева)</t>
  </si>
  <si>
    <t>RotaMatic P 2 (без обогрева)</t>
  </si>
  <si>
    <r>
      <t xml:space="preserve">ProPort D 5000 
</t>
    </r>
    <r>
      <rPr>
        <sz val="10"/>
        <rFont val="Arial"/>
        <family val="2"/>
        <charset val="204"/>
      </rPr>
      <t>(Требуются механические концевые упоры в направлении «Закр.», которые устанавливаются заказчиком.)</t>
    </r>
  </si>
  <si>
    <t>Действующий курс для расчета стоимости по акции:</t>
  </si>
  <si>
    <t>Продукт по акции (возможные варианты исполнения и размеров см. листовку)</t>
  </si>
  <si>
    <t>Decocolor</t>
  </si>
  <si>
    <t>3000 x 3000</t>
  </si>
  <si>
    <t>5000 x 2500</t>
  </si>
  <si>
    <t>Дилер</t>
  </si>
  <si>
    <t>с приводом SupraMatic Е 3</t>
  </si>
  <si>
    <t xml:space="preserve"> - Стоимость принадлежностей для приводов действительна только при покупке в комплекте с приводом.</t>
  </si>
  <si>
    <t>400 x 2100 mm</t>
  </si>
  <si>
    <t>до 1000 х 2250 mm</t>
  </si>
  <si>
    <t>от 300 x 1875 mm         до 500 х 2250 mm</t>
  </si>
  <si>
    <t>Дверь Thermo65, мотив THP700A, коробка А3</t>
  </si>
  <si>
    <t>Дверь Thermo46, мотив TPS010, коробка A2</t>
  </si>
  <si>
    <t>Электрическое устройство открывания для Thermo46 / Thermo65</t>
  </si>
  <si>
    <t>Стоимость в руб. с НДС 18%</t>
  </si>
  <si>
    <t xml:space="preserve">по </t>
  </si>
  <si>
    <t>рек. розница</t>
  </si>
  <si>
    <t>Дверь Thermo65, мотив THP 700A (720F), коробка А3</t>
  </si>
  <si>
    <t>3000 mm</t>
  </si>
  <si>
    <t>Гаражные секционные ворота RenoMatic 42</t>
  </si>
  <si>
    <r>
      <t>Thermo</t>
    </r>
    <r>
      <rPr>
        <b/>
        <sz val="11"/>
        <color rgb="FFFF0000"/>
        <rFont val="Calibri"/>
        <family val="2"/>
        <charset val="204"/>
        <scheme val="minor"/>
      </rPr>
      <t>46</t>
    </r>
  </si>
  <si>
    <r>
      <t>Thermo</t>
    </r>
    <r>
      <rPr>
        <b/>
        <sz val="11"/>
        <color rgb="FFFF0000"/>
        <rFont val="Calibri"/>
        <family val="2"/>
        <charset val="204"/>
        <scheme val="minor"/>
      </rPr>
      <t>65</t>
    </r>
  </si>
  <si>
    <t>SupraMatic E</t>
  </si>
  <si>
    <t>не поставляется</t>
  </si>
  <si>
    <t>Ширина:
от 700 до 1250
Высота:
от 1875 до 2250</t>
  </si>
  <si>
    <t xml:space="preserve"> - Стоимость доп.оснащения действительна только при покупке в комплекте с дверью из расширенной программы.</t>
  </si>
  <si>
    <t xml:space="preserve"> - Стоимость доп.принадлежностей действительна только при покупке в комплекте с дверью из расширенной программы.</t>
  </si>
  <si>
    <t>Акция:"Входные двери"
(расширенная)</t>
  </si>
  <si>
    <t>ProMatic 3</t>
  </si>
  <si>
    <t>SET: Акционные ворота с ручкой</t>
  </si>
  <si>
    <t>SET: Акционные ворота с приводом ProLift</t>
  </si>
  <si>
    <t xml:space="preserve">SET: Акционные ворота с приводом ProMatic </t>
  </si>
  <si>
    <t>Полотно RenoMatic 42 Light</t>
  </si>
  <si>
    <t>Ночной дуб</t>
  </si>
  <si>
    <t>4000 x 2500</t>
  </si>
  <si>
    <t>Night Oak</t>
  </si>
  <si>
    <r>
      <t xml:space="preserve">Thermo65 010 / 015 / 515 </t>
    </r>
    <r>
      <rPr>
        <b/>
        <sz val="12"/>
        <color rgb="FFFF0000"/>
        <rFont val="Arial"/>
        <family val="2"/>
        <charset val="204"/>
      </rPr>
      <t>RC2</t>
    </r>
  </si>
  <si>
    <r>
      <t xml:space="preserve">Thermo65 700 / 810 / 900 </t>
    </r>
    <r>
      <rPr>
        <b/>
        <sz val="12"/>
        <color rgb="FFFF0000"/>
        <rFont val="Arial"/>
        <family val="2"/>
        <charset val="204"/>
      </rPr>
      <t>RC2</t>
    </r>
  </si>
  <si>
    <t>Многоточечное запирающее устройство</t>
  </si>
  <si>
    <t>...Многоточечное запирающее устройство</t>
  </si>
  <si>
    <t>Окно верхнего света</t>
  </si>
  <si>
    <t>Боковой элемент и окно верхнего света (RC2)</t>
  </si>
  <si>
    <t xml:space="preserve"> от 875 x  300 mm         до 1250 х 500 mm</t>
  </si>
  <si>
    <t>до 1750 х 500 mm</t>
  </si>
  <si>
    <t>до 2250 х 500 mm</t>
  </si>
  <si>
    <t>до 1000 х 2250 mm*</t>
  </si>
  <si>
    <t>* - Дверь с боковым элементом не обладает статической устойчивостью. Устойчивость должна обеспечиваться строительной конструкцией. Возможно только без окна верхнего света.</t>
  </si>
  <si>
    <t>Боковой элемент RC2 **</t>
  </si>
  <si>
    <t>Окно верхнего света RC2 ***</t>
  </si>
  <si>
    <t>** - Исполнение класса RC 2 для боковых элементов возможно только</t>
  </si>
  <si>
    <t xml:space="preserve"> в диапазоне размеров с шириной 400 – 550 мм (наружный размер рамы).</t>
  </si>
  <si>
    <t xml:space="preserve">*** - Исполнение класса RC 2 для окон верхнего света возможно только </t>
  </si>
  <si>
    <t>в диапазоне размеров с высотой 400 – 500 мм (наружный размер рамы).</t>
  </si>
  <si>
    <t xml:space="preserve"> - Ночной дуб</t>
  </si>
  <si>
    <t>Пластмассовая рейка (S6), (438631) - 1 метр</t>
  </si>
  <si>
    <r>
      <t xml:space="preserve">Акция:"Ворота и двери года 2018" 
</t>
    </r>
    <r>
      <rPr>
        <sz val="16"/>
        <rFont val="Arial Cyr"/>
        <charset val="204"/>
      </rPr>
      <t>(стандарт)</t>
    </r>
  </si>
  <si>
    <t>Aкция:"Ворота и двери года 2018"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</si>
</sst>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[$€-2]\ * #,##0_-;\-[$€-2]\ * #,##0_-;_-[$€-2]\ * &quot;-&quot;??_-;_-@_-"/>
    <numFmt numFmtId="167" formatCode="_-* #,##0&quot;р.&quot;_-;\-* #,##0&quot;р.&quot;_-;_-* &quot;-&quot;??&quot;р.&quot;_-;_-@_-"/>
    <numFmt numFmtId="168" formatCode="_-* #,##0.0000&quot;р.&quot;_-;\-* #,##0.0000&quot;р.&quot;_-;_-* &quot;-&quot;??&quot;р.&quot;_-;_-@_-"/>
    <numFmt numFmtId="169" formatCode="_-* #,##0\ [$₽-419]_-;\-* #,##0\ [$₽-419]_-;_-* &quot;-&quot;??\ [$₽-419]_-;_-@_-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 Cyr"/>
      <charset val="204"/>
    </font>
    <font>
      <sz val="16"/>
      <name val="Arial Cyr"/>
      <charset val="204"/>
    </font>
    <font>
      <b/>
      <sz val="28"/>
      <color theme="1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b/>
      <sz val="72"/>
      <color rgb="FFFF0000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0"/>
      <color theme="6" tint="-0.499984740745262"/>
      <name val="Arial"/>
      <family val="2"/>
      <charset val="204"/>
    </font>
    <font>
      <b/>
      <sz val="10"/>
      <color theme="6" tint="-0.49998474074526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0"/>
      <color theme="3"/>
      <name val="Arial"/>
      <family val="2"/>
      <charset val="204"/>
    </font>
    <font>
      <b/>
      <sz val="10"/>
      <color rgb="FFFF0000"/>
      <name val="Arial"/>
      <family val="2"/>
    </font>
    <font>
      <b/>
      <sz val="12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4" fillId="0" borderId="0" applyFont="0" applyFill="0" applyBorder="0" applyAlignment="0" applyProtection="0"/>
    <xf numFmtId="0" fontId="7" fillId="5" borderId="0" applyNumberFormat="0" applyBorder="0" applyAlignment="0" applyProtection="0"/>
    <xf numFmtId="0" fontId="1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20" fillId="0" borderId="0"/>
    <xf numFmtId="0" fontId="4" fillId="0" borderId="0"/>
    <xf numFmtId="0" fontId="1" fillId="0" borderId="0"/>
    <xf numFmtId="0" fontId="4" fillId="0" borderId="0"/>
  </cellStyleXfs>
  <cellXfs count="488">
    <xf numFmtId="0" fontId="0" fillId="0" borderId="0" xfId="0"/>
    <xf numFmtId="0" fontId="0" fillId="2" borderId="0" xfId="0" applyFill="1" applyBorder="1"/>
    <xf numFmtId="0" fontId="0" fillId="6" borderId="0" xfId="0" applyFill="1"/>
    <xf numFmtId="167" fontId="5" fillId="5" borderId="17" xfId="6" applyNumberFormat="1" applyFont="1" applyBorder="1" applyAlignment="1">
      <alignment horizontal="center" vertical="center" wrapText="1"/>
    </xf>
    <xf numFmtId="0" fontId="0" fillId="2" borderId="0" xfId="0" applyFill="1"/>
    <xf numFmtId="0" fontId="3" fillId="7" borderId="13" xfId="0" applyFont="1" applyFill="1" applyBorder="1" applyAlignment="1">
      <alignment horizontal="left" vertical="top" wrapText="1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166" fontId="3" fillId="7" borderId="13" xfId="5" applyNumberFormat="1" applyFont="1" applyFill="1" applyBorder="1" applyAlignment="1">
      <alignment horizontal="center" vertical="center" wrapText="1"/>
    </xf>
    <xf numFmtId="167" fontId="3" fillId="7" borderId="13" xfId="5" applyNumberFormat="1" applyFont="1" applyFill="1" applyBorder="1" applyAlignment="1">
      <alignment horizontal="center" vertical="center"/>
    </xf>
    <xf numFmtId="167" fontId="3" fillId="7" borderId="14" xfId="5" applyNumberFormat="1" applyFont="1" applyFill="1" applyBorder="1" applyAlignment="1">
      <alignment horizontal="center" vertical="center"/>
    </xf>
    <xf numFmtId="167" fontId="3" fillId="7" borderId="15" xfId="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166" fontId="3" fillId="8" borderId="20" xfId="5" applyNumberFormat="1" applyFont="1" applyFill="1" applyBorder="1" applyAlignment="1">
      <alignment horizontal="left" vertical="center" wrapText="1"/>
    </xf>
    <xf numFmtId="166" fontId="3" fillId="8" borderId="21" xfId="5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 wrapText="1"/>
    </xf>
    <xf numFmtId="166" fontId="3" fillId="8" borderId="23" xfId="5" applyNumberFormat="1" applyFont="1" applyFill="1" applyBorder="1" applyAlignment="1">
      <alignment horizontal="left" vertical="center" wrapText="1"/>
    </xf>
    <xf numFmtId="166" fontId="3" fillId="8" borderId="24" xfId="5" applyNumberFormat="1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166" fontId="3" fillId="8" borderId="26" xfId="5" applyNumberFormat="1" applyFont="1" applyFill="1" applyBorder="1" applyAlignment="1">
      <alignment horizontal="left" vertical="center" wrapText="1"/>
    </xf>
    <xf numFmtId="166" fontId="3" fillId="8" borderId="27" xfId="5" applyNumberFormat="1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166" fontId="3" fillId="8" borderId="29" xfId="5" applyNumberFormat="1" applyFont="1" applyFill="1" applyBorder="1" applyAlignment="1">
      <alignment horizontal="left" vertical="center" wrapText="1"/>
    </xf>
    <xf numFmtId="166" fontId="3" fillId="8" borderId="30" xfId="5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166" fontId="3" fillId="8" borderId="41" xfId="5" applyNumberFormat="1" applyFont="1" applyFill="1" applyBorder="1" applyAlignment="1">
      <alignment horizontal="left" vertical="center" wrapText="1"/>
    </xf>
    <xf numFmtId="166" fontId="3" fillId="8" borderId="42" xfId="5" applyNumberFormat="1" applyFont="1" applyFill="1" applyBorder="1" applyAlignment="1">
      <alignment horizontal="left" vertical="center" wrapText="1"/>
    </xf>
    <xf numFmtId="166" fontId="3" fillId="8" borderId="43" xfId="5" applyNumberFormat="1" applyFont="1" applyFill="1" applyBorder="1" applyAlignment="1">
      <alignment horizontal="left" vertical="center" wrapText="1"/>
    </xf>
    <xf numFmtId="166" fontId="3" fillId="8" borderId="44" xfId="5" applyNumberFormat="1" applyFont="1" applyFill="1" applyBorder="1" applyAlignment="1">
      <alignment horizontal="left" vertical="center" wrapText="1"/>
    </xf>
    <xf numFmtId="167" fontId="3" fillId="2" borderId="32" xfId="5" applyNumberFormat="1" applyFont="1" applyFill="1" applyBorder="1" applyAlignment="1">
      <alignment horizontal="center" vertical="center"/>
    </xf>
    <xf numFmtId="166" fontId="3" fillId="2" borderId="34" xfId="5" applyNumberFormat="1" applyFont="1" applyFill="1" applyBorder="1" applyAlignment="1">
      <alignment horizontal="left" vertical="center" wrapText="1"/>
    </xf>
    <xf numFmtId="166" fontId="3" fillId="2" borderId="36" xfId="5" applyNumberFormat="1" applyFont="1" applyFill="1" applyBorder="1" applyAlignment="1">
      <alignment horizontal="left" vertical="center" wrapText="1"/>
    </xf>
    <xf numFmtId="0" fontId="6" fillId="3" borderId="13" xfId="0" applyFont="1" applyFill="1" applyBorder="1"/>
    <xf numFmtId="168" fontId="10" fillId="3" borderId="15" xfId="0" applyNumberFormat="1" applyFont="1" applyFill="1" applyBorder="1"/>
    <xf numFmtId="167" fontId="3" fillId="2" borderId="20" xfId="5" applyNumberFormat="1" applyFont="1" applyFill="1" applyBorder="1" applyAlignment="1">
      <alignment horizontal="left" vertical="center" wrapText="1"/>
    </xf>
    <xf numFmtId="167" fontId="3" fillId="2" borderId="30" xfId="5" applyNumberFormat="1" applyFont="1" applyFill="1" applyBorder="1" applyAlignment="1">
      <alignment horizontal="left" vertical="center" wrapText="1"/>
    </xf>
    <xf numFmtId="167" fontId="3" fillId="2" borderId="21" xfId="5" applyNumberFormat="1" applyFont="1" applyFill="1" applyBorder="1" applyAlignment="1">
      <alignment horizontal="left" vertical="center" wrapText="1"/>
    </xf>
    <xf numFmtId="167" fontId="3" fillId="2" borderId="23" xfId="5" applyNumberFormat="1" applyFont="1" applyFill="1" applyBorder="1" applyAlignment="1">
      <alignment horizontal="left" vertical="center" wrapText="1"/>
    </xf>
    <xf numFmtId="167" fontId="3" fillId="2" borderId="24" xfId="5" applyNumberFormat="1" applyFont="1" applyFill="1" applyBorder="1" applyAlignment="1">
      <alignment horizontal="left" vertical="center" wrapText="1"/>
    </xf>
    <xf numFmtId="167" fontId="3" fillId="2" borderId="26" xfId="5" applyNumberFormat="1" applyFont="1" applyFill="1" applyBorder="1" applyAlignment="1">
      <alignment horizontal="left" vertical="center" wrapText="1"/>
    </xf>
    <xf numFmtId="167" fontId="3" fillId="2" borderId="27" xfId="5" applyNumberFormat="1" applyFont="1" applyFill="1" applyBorder="1" applyAlignment="1">
      <alignment horizontal="left" vertical="center" wrapText="1"/>
    </xf>
    <xf numFmtId="167" fontId="3" fillId="2" borderId="29" xfId="5" applyNumberFormat="1" applyFont="1" applyFill="1" applyBorder="1" applyAlignment="1">
      <alignment horizontal="left" vertical="center" wrapText="1"/>
    </xf>
    <xf numFmtId="167" fontId="3" fillId="2" borderId="41" xfId="5" applyNumberFormat="1" applyFont="1" applyFill="1" applyBorder="1" applyAlignment="1">
      <alignment horizontal="left" vertical="center" wrapText="1"/>
    </xf>
    <xf numFmtId="167" fontId="3" fillId="2" borderId="42" xfId="5" applyNumberFormat="1" applyFont="1" applyFill="1" applyBorder="1" applyAlignment="1">
      <alignment horizontal="left" vertical="center" wrapText="1"/>
    </xf>
    <xf numFmtId="167" fontId="3" fillId="2" borderId="43" xfId="5" applyNumberFormat="1" applyFont="1" applyFill="1" applyBorder="1" applyAlignment="1">
      <alignment horizontal="left" vertical="center" wrapText="1"/>
    </xf>
    <xf numFmtId="167" fontId="3" fillId="2" borderId="44" xfId="5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164" fontId="15" fillId="0" borderId="0" xfId="0" applyNumberFormat="1" applyFont="1" applyAlignment="1" applyProtection="1">
      <alignment horizontal="center" vertical="center"/>
      <protection locked="0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167" fontId="5" fillId="5" borderId="38" xfId="6" applyNumberFormat="1" applyFont="1" applyBorder="1" applyAlignment="1" applyProtection="1">
      <alignment horizontal="center" vertical="center" wrapText="1"/>
      <protection hidden="1"/>
    </xf>
    <xf numFmtId="167" fontId="5" fillId="5" borderId="18" xfId="6" applyNumberFormat="1" applyFont="1" applyBorder="1" applyAlignment="1" applyProtection="1">
      <alignment horizontal="center" vertical="center" wrapText="1"/>
      <protection hidden="1"/>
    </xf>
    <xf numFmtId="0" fontId="0" fillId="2" borderId="0" xfId="0" applyFill="1" applyBorder="1" applyProtection="1">
      <protection hidden="1"/>
    </xf>
    <xf numFmtId="0" fontId="3" fillId="7" borderId="13" xfId="0" applyFont="1" applyFill="1" applyBorder="1" applyAlignment="1" applyProtection="1">
      <alignment horizontal="left" vertical="top" wrapText="1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166" fontId="3" fillId="7" borderId="13" xfId="5" applyNumberFormat="1" applyFont="1" applyFill="1" applyBorder="1" applyAlignment="1" applyProtection="1">
      <alignment horizontal="center" vertical="center" wrapText="1"/>
      <protection hidden="1"/>
    </xf>
    <xf numFmtId="166" fontId="3" fillId="7" borderId="15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Protection="1"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167" fontId="3" fillId="8" borderId="20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1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20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21" xfId="5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167" fontId="3" fillId="8" borderId="23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4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23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24" xfId="5" applyNumberFormat="1" applyFont="1" applyFill="1" applyBorder="1" applyAlignment="1" applyProtection="1">
      <alignment horizontal="left" vertical="center" wrapText="1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167" fontId="3" fillId="8" borderId="26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27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26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27" xfId="5" applyNumberFormat="1" applyFont="1" applyFill="1" applyBorder="1" applyAlignment="1" applyProtection="1">
      <alignment horizontal="left" vertical="center" wrapText="1"/>
      <protection hidden="1"/>
    </xf>
    <xf numFmtId="0" fontId="1" fillId="2" borderId="28" xfId="0" applyFont="1" applyFill="1" applyBorder="1" applyAlignment="1" applyProtection="1">
      <alignment horizontal="center" vertical="center" wrapText="1"/>
      <protection hidden="1"/>
    </xf>
    <xf numFmtId="167" fontId="3" fillId="8" borderId="29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30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29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30" xfId="5" applyNumberFormat="1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left" vertical="top" wrapText="1"/>
      <protection hidden="1"/>
    </xf>
    <xf numFmtId="167" fontId="3" fillId="2" borderId="4" xfId="5" applyNumberFormat="1" applyFont="1" applyFill="1" applyBorder="1" applyAlignment="1" applyProtection="1">
      <alignment horizontal="left" vertical="center" wrapText="1"/>
      <protection hidden="1"/>
    </xf>
    <xf numFmtId="167" fontId="0" fillId="2" borderId="0" xfId="5" applyNumberFormat="1" applyFont="1" applyFill="1" applyBorder="1" applyProtection="1">
      <protection hidden="1"/>
    </xf>
    <xf numFmtId="167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5" fillId="5" borderId="14" xfId="6" applyFont="1" applyBorder="1" applyAlignment="1" applyProtection="1">
      <alignment horizontal="center" vertical="center" wrapText="1"/>
      <protection hidden="1"/>
    </xf>
    <xf numFmtId="0" fontId="5" fillId="5" borderId="16" xfId="6" applyFont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horizontal="left" vertical="center"/>
      <protection hidden="1"/>
    </xf>
    <xf numFmtId="167" fontId="3" fillId="4" borderId="10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11" xfId="5" applyNumberFormat="1" applyFont="1" applyFill="1" applyBorder="1" applyAlignment="1" applyProtection="1">
      <alignment horizontal="left" vertical="center" wrapText="1"/>
      <protection hidden="1"/>
    </xf>
    <xf numFmtId="167" fontId="0" fillId="2" borderId="0" xfId="5" applyNumberFormat="1" applyFont="1" applyFill="1" applyProtection="1">
      <protection hidden="1"/>
    </xf>
    <xf numFmtId="166" fontId="3" fillId="4" borderId="10" xfId="5" applyNumberFormat="1" applyFont="1" applyFill="1" applyBorder="1" applyAlignment="1" applyProtection="1">
      <alignment horizontal="left" vertical="center" wrapText="1"/>
      <protection hidden="1"/>
    </xf>
    <xf numFmtId="166" fontId="3" fillId="4" borderId="11" xfId="5" applyNumberFormat="1" applyFont="1" applyFill="1" applyBorder="1" applyAlignment="1" applyProtection="1">
      <alignment horizontal="left" vertical="center" wrapText="1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 hidden="1"/>
    </xf>
    <xf numFmtId="167" fontId="3" fillId="4" borderId="39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40" xfId="5" applyNumberFormat="1" applyFont="1" applyFill="1" applyBorder="1" applyAlignment="1" applyProtection="1">
      <alignment horizontal="left" vertical="center" wrapText="1"/>
      <protection hidden="1"/>
    </xf>
    <xf numFmtId="166" fontId="3" fillId="4" borderId="39" xfId="5" applyNumberFormat="1" applyFont="1" applyFill="1" applyBorder="1" applyAlignment="1" applyProtection="1">
      <alignment horizontal="left" vertical="center" wrapText="1"/>
      <protection hidden="1"/>
    </xf>
    <xf numFmtId="166" fontId="3" fillId="4" borderId="40" xfId="5" applyNumberFormat="1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9" fillId="2" borderId="3" xfId="0" applyFont="1" applyFill="1" applyBorder="1" applyAlignment="1" applyProtection="1">
      <alignment horizontal="left"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hidden="1"/>
    </xf>
    <xf numFmtId="0" fontId="9" fillId="2" borderId="9" xfId="0" applyFont="1" applyFill="1" applyBorder="1" applyAlignment="1" applyProtection="1">
      <alignment horizontal="left" vertical="center"/>
      <protection hidden="1"/>
    </xf>
    <xf numFmtId="0" fontId="9" fillId="2" borderId="2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166" fontId="3" fillId="2" borderId="0" xfId="0" applyNumberFormat="1" applyFont="1" applyFill="1" applyBorder="1" applyAlignment="1" applyProtection="1">
      <alignment horizontal="left" vertical="center"/>
      <protection hidden="1"/>
    </xf>
    <xf numFmtId="166" fontId="3" fillId="2" borderId="0" xfId="5" applyNumberFormat="1" applyFont="1" applyFill="1" applyBorder="1" applyAlignment="1" applyProtection="1">
      <alignment horizontal="left" vertical="center"/>
      <protection hidden="1"/>
    </xf>
    <xf numFmtId="164" fontId="1" fillId="2" borderId="0" xfId="0" applyNumberFormat="1" applyFont="1" applyFill="1" applyBorder="1" applyAlignment="1" applyProtection="1">
      <alignment horizontal="left" vertical="center"/>
      <protection hidden="1"/>
    </xf>
    <xf numFmtId="166" fontId="3" fillId="0" borderId="0" xfId="0" applyNumberFormat="1" applyFont="1" applyFill="1" applyBorder="1" applyAlignment="1" applyProtection="1">
      <alignment horizontal="left" vertical="center"/>
      <protection hidden="1"/>
    </xf>
    <xf numFmtId="166" fontId="3" fillId="0" borderId="0" xfId="5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protection hidden="1"/>
    </xf>
    <xf numFmtId="0" fontId="8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vertical="top"/>
      <protection hidden="1"/>
    </xf>
    <xf numFmtId="167" fontId="5" fillId="5" borderId="17" xfId="6" applyNumberFormat="1" applyFont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45" xfId="0" applyFont="1" applyFill="1" applyBorder="1" applyAlignment="1" applyProtection="1">
      <alignment horizontal="left" vertical="center"/>
      <protection hidden="1"/>
    </xf>
    <xf numFmtId="167" fontId="3" fillId="0" borderId="14" xfId="5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1" fillId="2" borderId="7" xfId="0" applyFont="1" applyFill="1" applyBorder="1" applyAlignment="1" applyProtection="1">
      <alignment horizontal="right" vertical="center"/>
      <protection hidden="1"/>
    </xf>
    <xf numFmtId="14" fontId="13" fillId="0" borderId="0" xfId="0" applyNumberFormat="1" applyFont="1" applyAlignment="1">
      <alignment horizontal="center" vertical="center"/>
    </xf>
    <xf numFmtId="14" fontId="11" fillId="2" borderId="0" xfId="0" applyNumberFormat="1" applyFont="1" applyFill="1" applyAlignment="1" applyProtection="1">
      <alignment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14" fontId="11" fillId="2" borderId="7" xfId="0" applyNumberFormat="1" applyFont="1" applyFill="1" applyBorder="1" applyAlignment="1" applyProtection="1">
      <alignment vertical="center"/>
      <protection hidden="1"/>
    </xf>
    <xf numFmtId="0" fontId="3" fillId="7" borderId="51" xfId="0" applyFont="1" applyFill="1" applyBorder="1" applyAlignment="1" applyProtection="1">
      <alignment horizontal="left" vertical="top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protection hidden="1"/>
    </xf>
    <xf numFmtId="0" fontId="0" fillId="6" borderId="0" xfId="0" applyFill="1" applyAlignment="1" applyProtection="1">
      <protection hidden="1"/>
    </xf>
    <xf numFmtId="167" fontId="3" fillId="4" borderId="52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50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53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54" xfId="5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left" vertical="top" indent="2"/>
      <protection hidden="1"/>
    </xf>
    <xf numFmtId="0" fontId="3" fillId="2" borderId="7" xfId="0" applyFont="1" applyFill="1" applyBorder="1" applyAlignment="1" applyProtection="1">
      <alignment horizontal="left" vertical="top" indent="2"/>
      <protection hidden="1"/>
    </xf>
    <xf numFmtId="0" fontId="3" fillId="2" borderId="9" xfId="0" applyFont="1" applyFill="1" applyBorder="1" applyAlignment="1" applyProtection="1">
      <alignment horizontal="left" vertical="top" indent="2"/>
      <protection hidden="1"/>
    </xf>
    <xf numFmtId="0" fontId="3" fillId="2" borderId="47" xfId="0" applyFont="1" applyFill="1" applyBorder="1" applyAlignment="1" applyProtection="1">
      <alignment horizontal="left" vertical="top" indent="2"/>
      <protection hidden="1"/>
    </xf>
    <xf numFmtId="0" fontId="1" fillId="2" borderId="55" xfId="0" applyFont="1" applyFill="1" applyBorder="1" applyAlignment="1" applyProtection="1">
      <alignment vertical="center"/>
      <protection hidden="1"/>
    </xf>
    <xf numFmtId="0" fontId="1" fillId="2" borderId="55" xfId="0" applyFont="1" applyFill="1" applyBorder="1" applyAlignment="1" applyProtection="1">
      <alignment horizontal="left" vertical="center"/>
      <protection hidden="1"/>
    </xf>
    <xf numFmtId="0" fontId="1" fillId="2" borderId="57" xfId="0" applyFont="1" applyFill="1" applyBorder="1" applyAlignment="1" applyProtection="1">
      <alignment horizontal="left" vertical="center"/>
      <protection hidden="1"/>
    </xf>
    <xf numFmtId="167" fontId="3" fillId="4" borderId="56" xfId="5" applyNumberFormat="1" applyFont="1" applyFill="1" applyBorder="1" applyAlignment="1" applyProtection="1">
      <alignment horizontal="center" vertical="center" wrapText="1"/>
      <protection hidden="1"/>
    </xf>
    <xf numFmtId="0" fontId="3" fillId="7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5" fillId="5" borderId="14" xfId="6" applyFont="1" applyBorder="1" applyAlignment="1" applyProtection="1">
      <alignment horizontal="center" vertical="center" wrapText="1"/>
      <protection hidden="1"/>
    </xf>
    <xf numFmtId="0" fontId="0" fillId="0" borderId="0" xfId="0" applyAlignment="1"/>
    <xf numFmtId="167" fontId="5" fillId="5" borderId="51" xfId="6" applyNumberFormat="1" applyFont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7" xfId="0" applyFill="1" applyBorder="1"/>
    <xf numFmtId="0" fontId="0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/>
    </xf>
    <xf numFmtId="0" fontId="23" fillId="2" borderId="6" xfId="7" applyNumberFormat="1" applyFont="1" applyFill="1" applyBorder="1" applyAlignment="1" applyProtection="1">
      <alignment horizontal="right" vertical="top"/>
    </xf>
    <xf numFmtId="0" fontId="0" fillId="2" borderId="9" xfId="0" applyFont="1" applyFill="1" applyBorder="1" applyAlignment="1">
      <alignment horizontal="left"/>
    </xf>
    <xf numFmtId="0" fontId="23" fillId="6" borderId="6" xfId="0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7" fontId="5" fillId="5" borderId="13" xfId="6" applyNumberFormat="1" applyFont="1" applyBorder="1" applyAlignment="1">
      <alignment vertical="center"/>
    </xf>
    <xf numFmtId="167" fontId="5" fillId="5" borderId="14" xfId="6" applyNumberFormat="1" applyFont="1" applyBorder="1" applyAlignment="1">
      <alignment vertical="center"/>
    </xf>
    <xf numFmtId="167" fontId="5" fillId="5" borderId="15" xfId="6" applyNumberFormat="1" applyFont="1" applyBorder="1" applyAlignment="1">
      <alignment vertical="center"/>
    </xf>
    <xf numFmtId="0" fontId="5" fillId="5" borderId="13" xfId="6" applyFont="1" applyBorder="1" applyAlignment="1" applyProtection="1">
      <alignment horizontal="left" vertical="center"/>
      <protection hidden="1"/>
    </xf>
    <xf numFmtId="0" fontId="5" fillId="5" borderId="15" xfId="6" applyFont="1" applyBorder="1" applyAlignment="1" applyProtection="1">
      <alignment horizontal="center" vertical="center" wrapText="1"/>
      <protection hidden="1"/>
    </xf>
    <xf numFmtId="0" fontId="24" fillId="9" borderId="58" xfId="0" applyFont="1" applyFill="1" applyBorder="1" applyAlignment="1">
      <alignment vertical="center"/>
    </xf>
    <xf numFmtId="0" fontId="26" fillId="9" borderId="58" xfId="0" applyFont="1" applyFill="1" applyBorder="1" applyAlignment="1">
      <alignment vertical="center"/>
    </xf>
    <xf numFmtId="4" fontId="26" fillId="9" borderId="58" xfId="0" applyNumberFormat="1" applyFont="1" applyFill="1" applyBorder="1" applyAlignment="1">
      <alignment horizontal="center" vertical="center"/>
    </xf>
    <xf numFmtId="0" fontId="26" fillId="9" borderId="58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vertical="center"/>
    </xf>
    <xf numFmtId="0" fontId="26" fillId="9" borderId="0" xfId="0" applyFont="1" applyFill="1" applyBorder="1" applyAlignment="1">
      <alignment vertical="center"/>
    </xf>
    <xf numFmtId="4" fontId="26" fillId="9" borderId="0" xfId="0" applyNumberFormat="1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60" xfId="0" applyFill="1" applyBorder="1"/>
    <xf numFmtId="0" fontId="0" fillId="2" borderId="61" xfId="0" applyFill="1" applyBorder="1"/>
    <xf numFmtId="0" fontId="0" fillId="2" borderId="64" xfId="0" applyFill="1" applyBorder="1" applyAlignment="1"/>
    <xf numFmtId="0" fontId="0" fillId="2" borderId="64" xfId="0" applyFill="1" applyBorder="1"/>
    <xf numFmtId="0" fontId="0" fillId="2" borderId="59" xfId="0" applyFill="1" applyBorder="1"/>
    <xf numFmtId="0" fontId="0" fillId="2" borderId="58" xfId="0" applyFill="1" applyBorder="1" applyAlignment="1"/>
    <xf numFmtId="0" fontId="0" fillId="2" borderId="58" xfId="0" applyFill="1" applyBorder="1"/>
    <xf numFmtId="0" fontId="0" fillId="2" borderId="50" xfId="0" applyFill="1" applyBorder="1"/>
    <xf numFmtId="0" fontId="0" fillId="2" borderId="1" xfId="0" applyFill="1" applyBorder="1" applyAlignment="1"/>
    <xf numFmtId="0" fontId="24" fillId="9" borderId="66" xfId="0" applyFont="1" applyFill="1" applyBorder="1" applyAlignment="1">
      <alignment vertical="center"/>
    </xf>
    <xf numFmtId="0" fontId="24" fillId="9" borderId="67" xfId="0" applyFont="1" applyFill="1" applyBorder="1" applyAlignment="1">
      <alignment vertical="center"/>
    </xf>
    <xf numFmtId="0" fontId="25" fillId="2" borderId="9" xfId="0" applyFont="1" applyFill="1" applyBorder="1" applyAlignment="1">
      <alignment vertical="center"/>
    </xf>
    <xf numFmtId="0" fontId="25" fillId="2" borderId="47" xfId="0" applyFont="1" applyFill="1" applyBorder="1" applyAlignment="1">
      <alignment vertical="center"/>
    </xf>
    <xf numFmtId="0" fontId="25" fillId="2" borderId="9" xfId="0" applyFont="1" applyFill="1" applyBorder="1" applyAlignment="1"/>
    <xf numFmtId="0" fontId="0" fillId="2" borderId="71" xfId="0" applyFill="1" applyBorder="1" applyAlignment="1"/>
    <xf numFmtId="166" fontId="0" fillId="0" borderId="40" xfId="0" applyNumberFormat="1" applyBorder="1"/>
    <xf numFmtId="0" fontId="0" fillId="2" borderId="66" xfId="0" applyFill="1" applyBorder="1" applyAlignment="1"/>
    <xf numFmtId="0" fontId="0" fillId="2" borderId="47" xfId="0" applyFill="1" applyBorder="1" applyAlignment="1"/>
    <xf numFmtId="0" fontId="24" fillId="9" borderId="9" xfId="0" applyFont="1" applyFill="1" applyBorder="1" applyAlignment="1">
      <alignment vertical="center"/>
    </xf>
    <xf numFmtId="0" fontId="1" fillId="2" borderId="71" xfId="0" applyFont="1" applyFill="1" applyBorder="1" applyAlignment="1"/>
    <xf numFmtId="0" fontId="1" fillId="2" borderId="66" xfId="0" applyFont="1" applyFill="1" applyBorder="1" applyAlignment="1"/>
    <xf numFmtId="0" fontId="1" fillId="2" borderId="47" xfId="0" applyFont="1" applyFill="1" applyBorder="1" applyAlignment="1"/>
    <xf numFmtId="0" fontId="1" fillId="2" borderId="2" xfId="0" applyFont="1" applyFill="1" applyBorder="1" applyAlignment="1"/>
    <xf numFmtId="0" fontId="1" fillId="2" borderId="7" xfId="0" applyFont="1" applyFill="1" applyBorder="1" applyAlignment="1">
      <alignment vertical="center"/>
    </xf>
    <xf numFmtId="166" fontId="0" fillId="0" borderId="12" xfId="0" applyNumberFormat="1" applyBorder="1"/>
    <xf numFmtId="0" fontId="0" fillId="2" borderId="6" xfId="0" applyFill="1" applyBorder="1"/>
    <xf numFmtId="0" fontId="0" fillId="2" borderId="3" xfId="0" applyFill="1" applyBorder="1"/>
    <xf numFmtId="0" fontId="6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3" fillId="2" borderId="13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167" fontId="3" fillId="4" borderId="18" xfId="5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166" fontId="3" fillId="2" borderId="0" xfId="5" applyNumberFormat="1" applyFont="1" applyFill="1" applyBorder="1" applyAlignment="1" applyProtection="1">
      <alignment horizontal="left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left"/>
    </xf>
    <xf numFmtId="0" fontId="17" fillId="2" borderId="0" xfId="0" applyFont="1" applyFill="1"/>
    <xf numFmtId="167" fontId="3" fillId="4" borderId="75" xfId="5" applyNumberFormat="1" applyFont="1" applyFill="1" applyBorder="1" applyAlignment="1" applyProtection="1">
      <alignment horizontal="left" vertical="center" wrapText="1"/>
      <protection hidden="1"/>
    </xf>
    <xf numFmtId="167" fontId="3" fillId="4" borderId="76" xfId="5" applyNumberFormat="1" applyFont="1" applyFill="1" applyBorder="1" applyAlignment="1" applyProtection="1">
      <alignment horizontal="left" vertical="center" wrapText="1"/>
      <protection hidden="1"/>
    </xf>
    <xf numFmtId="0" fontId="9" fillId="2" borderId="66" xfId="0" applyFont="1" applyFill="1" applyBorder="1" applyAlignment="1" applyProtection="1">
      <alignment horizontal="left" vertical="center"/>
      <protection hidden="1"/>
    </xf>
    <xf numFmtId="0" fontId="3" fillId="2" borderId="58" xfId="0" applyFont="1" applyFill="1" applyBorder="1" applyAlignment="1" applyProtection="1">
      <alignment horizontal="left" vertical="center"/>
      <protection hidden="1"/>
    </xf>
    <xf numFmtId="0" fontId="1" fillId="2" borderId="58" xfId="0" applyFont="1" applyFill="1" applyBorder="1" applyAlignment="1" applyProtection="1">
      <alignment horizontal="left" vertical="center"/>
      <protection hidden="1"/>
    </xf>
    <xf numFmtId="0" fontId="1" fillId="2" borderId="58" xfId="0" applyFont="1" applyFill="1" applyBorder="1" applyAlignment="1" applyProtection="1">
      <alignment vertical="center"/>
      <protection hidden="1"/>
    </xf>
    <xf numFmtId="0" fontId="9" fillId="2" borderId="67" xfId="0" applyFont="1" applyFill="1" applyBorder="1" applyAlignment="1" applyProtection="1">
      <alignment horizontal="left" vertical="center"/>
      <protection hidden="1"/>
    </xf>
    <xf numFmtId="167" fontId="3" fillId="4" borderId="77" xfId="5" applyNumberFormat="1" applyFont="1" applyFill="1" applyBorder="1" applyAlignment="1" applyProtection="1">
      <alignment horizontal="left" vertical="center" wrapText="1"/>
      <protection hidden="1"/>
    </xf>
    <xf numFmtId="0" fontId="27" fillId="2" borderId="66" xfId="0" applyFont="1" applyFill="1" applyBorder="1" applyAlignment="1" applyProtection="1">
      <alignment horizontal="left" vertical="center"/>
      <protection hidden="1"/>
    </xf>
    <xf numFmtId="167" fontId="28" fillId="4" borderId="39" xfId="5" applyNumberFormat="1" applyFont="1" applyFill="1" applyBorder="1" applyAlignment="1" applyProtection="1">
      <alignment horizontal="left" vertical="center" wrapText="1"/>
      <protection hidden="1"/>
    </xf>
    <xf numFmtId="167" fontId="28" fillId="4" borderId="40" xfId="5" applyNumberFormat="1" applyFont="1" applyFill="1" applyBorder="1" applyAlignment="1" applyProtection="1">
      <alignment horizontal="left" vertical="center" wrapText="1"/>
      <protection hidden="1"/>
    </xf>
    <xf numFmtId="167" fontId="28" fillId="4" borderId="74" xfId="5" applyNumberFormat="1" applyFont="1" applyFill="1" applyBorder="1" applyAlignment="1" applyProtection="1">
      <alignment horizontal="left" vertical="center" wrapText="1"/>
      <protection hidden="1"/>
    </xf>
    <xf numFmtId="167" fontId="28" fillId="4" borderId="70" xfId="5" applyNumberFormat="1" applyFont="1" applyFill="1" applyBorder="1" applyAlignment="1" applyProtection="1">
      <alignment horizontal="left" vertical="center" wrapText="1"/>
      <protection hidden="1"/>
    </xf>
    <xf numFmtId="166" fontId="3" fillId="4" borderId="0" xfId="5" applyNumberFormat="1" applyFont="1" applyFill="1" applyBorder="1" applyAlignment="1" applyProtection="1">
      <alignment horizontal="left" vertical="center" wrapText="1"/>
      <protection hidden="1"/>
    </xf>
    <xf numFmtId="167" fontId="0" fillId="2" borderId="0" xfId="5" quotePrefix="1" applyNumberFormat="1" applyFont="1" applyFill="1" applyProtection="1">
      <protection hidden="1"/>
    </xf>
    <xf numFmtId="0" fontId="0" fillId="2" borderId="34" xfId="0" applyFill="1" applyBorder="1"/>
    <xf numFmtId="0" fontId="22" fillId="2" borderId="0" xfId="0" applyFont="1" applyFill="1" applyAlignment="1"/>
    <xf numFmtId="0" fontId="29" fillId="2" borderId="0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hidden="1"/>
    </xf>
    <xf numFmtId="0" fontId="5" fillId="5" borderId="32" xfId="6" applyFont="1" applyBorder="1" applyAlignment="1" applyProtection="1">
      <alignment horizontal="center" vertical="center" wrapText="1"/>
      <protection hidden="1"/>
    </xf>
    <xf numFmtId="167" fontId="3" fillId="8" borderId="79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80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79" xfId="5" applyNumberFormat="1" applyFont="1" applyFill="1" applyBorder="1" applyAlignment="1" applyProtection="1">
      <alignment horizontal="left" vertical="center" wrapText="1"/>
      <protection hidden="1"/>
    </xf>
    <xf numFmtId="166" fontId="3" fillId="8" borderId="80" xfId="5" applyNumberFormat="1" applyFont="1" applyFill="1" applyBorder="1" applyAlignment="1" applyProtection="1">
      <alignment horizontal="left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167" fontId="3" fillId="8" borderId="77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36" xfId="5" applyNumberFormat="1" applyFont="1" applyFill="1" applyBorder="1" applyAlignment="1" applyProtection="1">
      <alignment horizontal="left" vertical="center" wrapText="1"/>
      <protection hidden="1"/>
    </xf>
    <xf numFmtId="0" fontId="1" fillId="2" borderId="81" xfId="0" applyFont="1" applyFill="1" applyBorder="1" applyAlignment="1" applyProtection="1">
      <alignment horizontal="center" vertical="center" wrapText="1"/>
      <protection hidden="1"/>
    </xf>
    <xf numFmtId="167" fontId="3" fillId="8" borderId="82" xfId="5" applyNumberFormat="1" applyFont="1" applyFill="1" applyBorder="1" applyAlignment="1" applyProtection="1">
      <alignment horizontal="left" vertical="center" wrapText="1"/>
      <protection hidden="1"/>
    </xf>
    <xf numFmtId="167" fontId="3" fillId="8" borderId="83" xfId="5" applyNumberFormat="1" applyFont="1" applyFill="1" applyBorder="1" applyAlignment="1" applyProtection="1">
      <alignment horizontal="left" vertical="center" wrapText="1"/>
      <protection hidden="1"/>
    </xf>
    <xf numFmtId="1" fontId="0" fillId="0" borderId="0" xfId="0" applyNumberFormat="1"/>
    <xf numFmtId="0" fontId="3" fillId="2" borderId="14" xfId="0" applyFont="1" applyFill="1" applyBorder="1" applyAlignment="1" applyProtection="1">
      <alignment horizontal="left" vertical="center" wrapText="1"/>
      <protection hidden="1"/>
    </xf>
    <xf numFmtId="0" fontId="5" fillId="5" borderId="14" xfId="6" applyFont="1" applyBorder="1" applyAlignment="1" applyProtection="1">
      <alignment horizontal="center" vertical="center" wrapText="1"/>
      <protection hidden="1"/>
    </xf>
    <xf numFmtId="0" fontId="5" fillId="5" borderId="32" xfId="6" applyFont="1" applyBorder="1" applyAlignment="1" applyProtection="1">
      <alignment horizontal="center" vertical="center" wrapText="1"/>
      <protection hidden="1"/>
    </xf>
    <xf numFmtId="167" fontId="18" fillId="8" borderId="26" xfId="5" applyNumberFormat="1" applyFont="1" applyFill="1" applyBorder="1" applyAlignment="1" applyProtection="1">
      <alignment horizontal="left" vertical="center" wrapText="1"/>
      <protection hidden="1"/>
    </xf>
    <xf numFmtId="167" fontId="18" fillId="8" borderId="27" xfId="5" applyNumberFormat="1" applyFont="1" applyFill="1" applyBorder="1" applyAlignment="1" applyProtection="1">
      <alignment horizontal="left" vertical="center" wrapText="1"/>
      <protection hidden="1"/>
    </xf>
    <xf numFmtId="166" fontId="16" fillId="0" borderId="39" xfId="0" applyNumberFormat="1" applyFont="1" applyBorder="1" applyAlignment="1">
      <alignment vertical="center"/>
    </xf>
    <xf numFmtId="166" fontId="16" fillId="0" borderId="86" xfId="0" applyNumberFormat="1" applyFont="1" applyBorder="1" applyAlignment="1">
      <alignment vertical="center"/>
    </xf>
    <xf numFmtId="167" fontId="24" fillId="9" borderId="58" xfId="5" applyNumberFormat="1" applyFont="1" applyFill="1" applyBorder="1" applyAlignment="1">
      <alignment vertical="center"/>
    </xf>
    <xf numFmtId="167" fontId="24" fillId="9" borderId="67" xfId="5" applyNumberFormat="1" applyFont="1" applyFill="1" applyBorder="1" applyAlignment="1">
      <alignment vertical="center"/>
    </xf>
    <xf numFmtId="167" fontId="16" fillId="0" borderId="50" xfId="5" applyNumberFormat="1" applyFont="1" applyBorder="1" applyAlignment="1">
      <alignment vertical="center"/>
    </xf>
    <xf numFmtId="167" fontId="0" fillId="0" borderId="40" xfId="5" applyNumberFormat="1" applyFont="1" applyBorder="1"/>
    <xf numFmtId="167" fontId="16" fillId="0" borderId="73" xfId="5" applyNumberFormat="1" applyFont="1" applyBorder="1" applyAlignment="1">
      <alignment vertical="center"/>
    </xf>
    <xf numFmtId="167" fontId="0" fillId="0" borderId="12" xfId="5" applyNumberFormat="1" applyFont="1" applyBorder="1"/>
    <xf numFmtId="0" fontId="1" fillId="10" borderId="3" xfId="0" applyFont="1" applyFill="1" applyBorder="1" applyAlignment="1" applyProtection="1">
      <alignment horizontal="center" vertical="center" wrapText="1"/>
      <protection hidden="1"/>
    </xf>
    <xf numFmtId="166" fontId="3" fillId="8" borderId="79" xfId="5" applyNumberFormat="1" applyFont="1" applyFill="1" applyBorder="1" applyAlignment="1">
      <alignment horizontal="left" vertical="center" wrapText="1"/>
    </xf>
    <xf numFmtId="166" fontId="3" fillId="8" borderId="87" xfId="5" applyNumberFormat="1" applyFont="1" applyFill="1" applyBorder="1" applyAlignment="1">
      <alignment horizontal="left" vertical="center" wrapText="1"/>
    </xf>
    <xf numFmtId="166" fontId="3" fillId="8" borderId="80" xfId="5" applyNumberFormat="1" applyFont="1" applyFill="1" applyBorder="1" applyAlignment="1">
      <alignment horizontal="left" vertical="center" wrapText="1"/>
    </xf>
    <xf numFmtId="167" fontId="3" fillId="2" borderId="79" xfId="5" applyNumberFormat="1" applyFont="1" applyFill="1" applyBorder="1" applyAlignment="1">
      <alignment horizontal="left" vertical="center" wrapText="1"/>
    </xf>
    <xf numFmtId="167" fontId="3" fillId="2" borderId="87" xfId="5" applyNumberFormat="1" applyFont="1" applyFill="1" applyBorder="1" applyAlignment="1">
      <alignment horizontal="left" vertical="center" wrapText="1"/>
    </xf>
    <xf numFmtId="167" fontId="3" fillId="2" borderId="80" xfId="5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66" fontId="3" fillId="8" borderId="85" xfId="5" applyNumberFormat="1" applyFont="1" applyFill="1" applyBorder="1" applyAlignment="1">
      <alignment horizontal="left" vertical="center" wrapText="1"/>
    </xf>
    <xf numFmtId="166" fontId="3" fillId="8" borderId="9" xfId="5" applyNumberFormat="1" applyFont="1" applyFill="1" applyBorder="1" applyAlignment="1">
      <alignment horizontal="left" vertical="center" wrapText="1"/>
    </xf>
    <xf numFmtId="166" fontId="3" fillId="8" borderId="34" xfId="5" applyNumberFormat="1" applyFont="1" applyFill="1" applyBorder="1" applyAlignment="1">
      <alignment horizontal="left" vertical="center" wrapText="1"/>
    </xf>
    <xf numFmtId="167" fontId="3" fillId="2" borderId="85" xfId="5" applyNumberFormat="1" applyFont="1" applyFill="1" applyBorder="1" applyAlignment="1">
      <alignment horizontal="left" vertical="center" wrapText="1"/>
    </xf>
    <xf numFmtId="167" fontId="3" fillId="2" borderId="9" xfId="5" applyNumberFormat="1" applyFont="1" applyFill="1" applyBorder="1" applyAlignment="1">
      <alignment horizontal="left" vertical="center" wrapText="1"/>
    </xf>
    <xf numFmtId="167" fontId="3" fillId="2" borderId="34" xfId="5" applyNumberFormat="1" applyFont="1" applyFill="1" applyBorder="1" applyAlignment="1">
      <alignment horizontal="left" vertical="center" wrapText="1"/>
    </xf>
    <xf numFmtId="167" fontId="3" fillId="2" borderId="0" xfId="5" applyNumberFormat="1" applyFont="1" applyFill="1" applyBorder="1" applyAlignment="1">
      <alignment horizontal="left" vertical="center" wrapText="1"/>
    </xf>
    <xf numFmtId="167" fontId="5" fillId="5" borderId="13" xfId="6" applyNumberFormat="1" applyFont="1" applyBorder="1" applyAlignment="1">
      <alignment horizontal="center" vertical="center"/>
    </xf>
    <xf numFmtId="167" fontId="17" fillId="2" borderId="4" xfId="5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14" fontId="11" fillId="2" borderId="7" xfId="0" applyNumberFormat="1" applyFont="1" applyFill="1" applyBorder="1" applyAlignment="1" applyProtection="1">
      <alignment horizontal="right" vertical="center"/>
      <protection hidden="1"/>
    </xf>
    <xf numFmtId="0" fontId="23" fillId="2" borderId="6" xfId="0" applyFont="1" applyFill="1" applyBorder="1" applyAlignment="1">
      <alignment horizontal="right"/>
    </xf>
    <xf numFmtId="0" fontId="23" fillId="2" borderId="3" xfId="0" applyFont="1" applyFill="1" applyBorder="1" applyAlignment="1">
      <alignment horizontal="right"/>
    </xf>
    <xf numFmtId="14" fontId="11" fillId="2" borderId="7" xfId="0" applyNumberFormat="1" applyFont="1" applyFill="1" applyBorder="1" applyAlignment="1" applyProtection="1">
      <alignment horizontal="left" vertical="center"/>
      <protection hidden="1"/>
    </xf>
    <xf numFmtId="0" fontId="23" fillId="2" borderId="6" xfId="0" applyNumberFormat="1" applyFont="1" applyFill="1" applyBorder="1" applyAlignment="1" applyProtection="1">
      <alignment horizontal="right" vertical="center"/>
    </xf>
    <xf numFmtId="0" fontId="0" fillId="2" borderId="8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3" xfId="0" applyBorder="1"/>
    <xf numFmtId="0" fontId="0" fillId="2" borderId="88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 vertical="center"/>
    </xf>
    <xf numFmtId="0" fontId="0" fillId="2" borderId="89" xfId="0" applyFont="1" applyFill="1" applyBorder="1" applyAlignment="1">
      <alignment horizontal="center"/>
    </xf>
    <xf numFmtId="0" fontId="0" fillId="2" borderId="89" xfId="0" applyFill="1" applyBorder="1"/>
    <xf numFmtId="0" fontId="0" fillId="2" borderId="90" xfId="0" applyFont="1" applyFill="1" applyBorder="1" applyAlignment="1">
      <alignment horizontal="center" vertical="center"/>
    </xf>
    <xf numFmtId="167" fontId="5" fillId="5" borderId="91" xfId="6" applyNumberFormat="1" applyFont="1" applyBorder="1" applyAlignment="1">
      <alignment vertical="center"/>
    </xf>
    <xf numFmtId="0" fontId="0" fillId="2" borderId="92" xfId="0" applyFont="1" applyFill="1" applyBorder="1" applyAlignment="1">
      <alignment horizontal="center" vertical="center"/>
    </xf>
    <xf numFmtId="0" fontId="0" fillId="2" borderId="93" xfId="0" applyFont="1" applyFill="1" applyBorder="1" applyAlignment="1">
      <alignment horizontal="center" vertical="center"/>
    </xf>
    <xf numFmtId="0" fontId="0" fillId="2" borderId="94" xfId="0" applyFont="1" applyFill="1" applyBorder="1" applyAlignment="1">
      <alignment horizontal="center" vertical="center"/>
    </xf>
    <xf numFmtId="0" fontId="23" fillId="2" borderId="9" xfId="0" applyFont="1" applyFill="1" applyBorder="1"/>
    <xf numFmtId="0" fontId="23" fillId="2" borderId="2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167" fontId="0" fillId="2" borderId="0" xfId="0" applyNumberFormat="1" applyFill="1" applyProtection="1">
      <protection hidden="1"/>
    </xf>
    <xf numFmtId="0" fontId="23" fillId="2" borderId="5" xfId="0" applyNumberFormat="1" applyFont="1" applyFill="1" applyBorder="1" applyAlignment="1" applyProtection="1">
      <alignment horizontal="right" vertical="top"/>
    </xf>
    <xf numFmtId="167" fontId="30" fillId="8" borderId="26" xfId="5" applyNumberFormat="1" applyFont="1" applyFill="1" applyBorder="1" applyAlignment="1" applyProtection="1">
      <alignment horizontal="left" vertical="center"/>
      <protection hidden="1"/>
    </xf>
    <xf numFmtId="166" fontId="0" fillId="2" borderId="0" xfId="0" applyNumberFormat="1" applyFill="1" applyProtection="1">
      <protection hidden="1"/>
    </xf>
    <xf numFmtId="167" fontId="3" fillId="11" borderId="43" xfId="5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 applyProtection="1">
      <alignment horizontal="left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0" fontId="35" fillId="2" borderId="0" xfId="0" applyFont="1" applyFill="1" applyBorder="1" applyAlignment="1" applyProtection="1">
      <alignment horizontal="left" vertical="center"/>
      <protection hidden="1"/>
    </xf>
    <xf numFmtId="0" fontId="36" fillId="2" borderId="0" xfId="0" applyFont="1" applyFill="1" applyBorder="1" applyAlignment="1" applyProtection="1">
      <alignment horizontal="left" vertical="center"/>
      <protection hidden="1"/>
    </xf>
    <xf numFmtId="0" fontId="0" fillId="11" borderId="89" xfId="0" applyFont="1" applyFill="1" applyBorder="1" applyAlignment="1">
      <alignment horizontal="center" vertical="center"/>
    </xf>
    <xf numFmtId="167" fontId="5" fillId="5" borderId="15" xfId="6" applyNumberFormat="1" applyFont="1" applyBorder="1" applyAlignment="1">
      <alignment horizontal="center" vertical="center" wrapText="1"/>
    </xf>
    <xf numFmtId="167" fontId="5" fillId="5" borderId="14" xfId="6" applyNumberFormat="1" applyFont="1" applyBorder="1" applyAlignment="1">
      <alignment horizontal="center" vertical="center"/>
    </xf>
    <xf numFmtId="167" fontId="5" fillId="5" borderId="15" xfId="6" applyNumberFormat="1" applyFont="1" applyBorder="1" applyAlignment="1">
      <alignment horizontal="center" vertical="center" wrapText="1"/>
    </xf>
    <xf numFmtId="167" fontId="5" fillId="5" borderId="14" xfId="6" applyNumberFormat="1" applyFont="1" applyBorder="1" applyAlignment="1">
      <alignment horizontal="center" vertical="center"/>
    </xf>
    <xf numFmtId="0" fontId="37" fillId="0" borderId="0" xfId="0" applyFont="1"/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67" fontId="5" fillId="5" borderId="14" xfId="6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2" borderId="0" xfId="0" applyNumberFormat="1" applyFill="1" applyProtection="1">
      <protection hidden="1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3" fillId="2" borderId="6" xfId="7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167" fontId="5" fillId="5" borderId="15" xfId="6" applyNumberFormat="1" applyFont="1" applyBorder="1" applyAlignment="1">
      <alignment horizontal="center" vertical="center" wrapText="1"/>
    </xf>
    <xf numFmtId="0" fontId="0" fillId="2" borderId="98" xfId="0" applyFill="1" applyBorder="1"/>
    <xf numFmtId="0" fontId="0" fillId="2" borderId="63" xfId="0" applyFill="1" applyBorder="1"/>
    <xf numFmtId="0" fontId="0" fillId="2" borderId="96" xfId="0" applyFill="1" applyBorder="1"/>
    <xf numFmtId="0" fontId="0" fillId="2" borderId="72" xfId="0" applyFill="1" applyBorder="1"/>
    <xf numFmtId="167" fontId="5" fillId="5" borderId="97" xfId="6" applyNumberFormat="1" applyFont="1" applyBorder="1" applyAlignment="1">
      <alignment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96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38" fillId="2" borderId="3" xfId="0" applyFont="1" applyFill="1" applyBorder="1" applyAlignment="1" applyProtection="1">
      <alignment horizontal="center" vertical="center" wrapText="1"/>
      <protection hidden="1"/>
    </xf>
    <xf numFmtId="167" fontId="5" fillId="5" borderId="0" xfId="6" applyNumberFormat="1" applyFont="1" applyBorder="1" applyAlignment="1" applyProtection="1">
      <alignment vertical="center" wrapText="1"/>
      <protection hidden="1"/>
    </xf>
    <xf numFmtId="0" fontId="0" fillId="0" borderId="0" xfId="0" applyBorder="1"/>
    <xf numFmtId="166" fontId="3" fillId="4" borderId="99" xfId="5" applyNumberFormat="1" applyFont="1" applyFill="1" applyBorder="1" applyAlignment="1" applyProtection="1">
      <alignment horizontal="left" vertical="center" wrapText="1"/>
      <protection hidden="1"/>
    </xf>
    <xf numFmtId="167" fontId="5" fillId="5" borderId="0" xfId="6" applyNumberFormat="1" applyFont="1" applyBorder="1" applyAlignment="1" applyProtection="1">
      <alignment vertical="center"/>
      <protection hidden="1"/>
    </xf>
    <xf numFmtId="166" fontId="16" fillId="0" borderId="47" xfId="0" applyNumberFormat="1" applyFont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0" fontId="39" fillId="2" borderId="9" xfId="0" applyFont="1" applyFill="1" applyBorder="1" applyAlignment="1">
      <alignment vertical="center"/>
    </xf>
    <xf numFmtId="166" fontId="16" fillId="0" borderId="84" xfId="0" applyNumberFormat="1" applyFont="1" applyBorder="1" applyAlignment="1">
      <alignment vertical="center"/>
    </xf>
    <xf numFmtId="166" fontId="0" fillId="0" borderId="68" xfId="0" applyNumberFormat="1" applyBorder="1" applyAlignment="1">
      <alignment vertical="center"/>
    </xf>
    <xf numFmtId="166" fontId="16" fillId="0" borderId="85" xfId="0" applyNumberFormat="1" applyFont="1" applyBorder="1" applyAlignment="1">
      <alignment vertical="center"/>
    </xf>
    <xf numFmtId="166" fontId="0" fillId="0" borderId="69" xfId="0" applyNumberFormat="1" applyBorder="1" applyAlignment="1">
      <alignment vertical="center"/>
    </xf>
    <xf numFmtId="166" fontId="16" fillId="0" borderId="74" xfId="0" applyNumberFormat="1" applyFont="1" applyBorder="1" applyAlignment="1">
      <alignment vertical="center"/>
    </xf>
    <xf numFmtId="166" fontId="0" fillId="0" borderId="70" xfId="0" applyNumberFormat="1" applyBorder="1" applyAlignment="1">
      <alignment vertical="center"/>
    </xf>
    <xf numFmtId="166" fontId="23" fillId="0" borderId="68" xfId="0" applyNumberFormat="1" applyFont="1" applyBorder="1" applyAlignment="1">
      <alignment vertical="center"/>
    </xf>
    <xf numFmtId="166" fontId="23" fillId="0" borderId="69" xfId="0" applyNumberFormat="1" applyFont="1" applyBorder="1" applyAlignment="1">
      <alignment vertical="center"/>
    </xf>
    <xf numFmtId="166" fontId="23" fillId="0" borderId="70" xfId="0" applyNumberFormat="1" applyFont="1" applyBorder="1" applyAlignment="1">
      <alignment vertical="center"/>
    </xf>
    <xf numFmtId="166" fontId="0" fillId="0" borderId="6" xfId="0" applyNumberFormat="1" applyFill="1" applyBorder="1"/>
    <xf numFmtId="0" fontId="41" fillId="0" borderId="0" xfId="0" applyFont="1"/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23" fillId="0" borderId="0" xfId="0" applyFont="1"/>
    <xf numFmtId="167" fontId="5" fillId="2" borderId="0" xfId="6" applyNumberFormat="1" applyFont="1" applyFill="1" applyBorder="1" applyAlignment="1" applyProtection="1">
      <alignment horizontal="center" vertical="center" wrapText="1"/>
      <protection hidden="1"/>
    </xf>
    <xf numFmtId="169" fontId="3" fillId="2" borderId="34" xfId="5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167" fontId="17" fillId="2" borderId="4" xfId="5" applyNumberFormat="1" applyFont="1" applyFill="1" applyBorder="1" applyAlignment="1" applyProtection="1">
      <alignment horizontal="center"/>
      <protection hidden="1"/>
    </xf>
    <xf numFmtId="0" fontId="9" fillId="2" borderId="78" xfId="0" applyFont="1" applyFill="1" applyBorder="1" applyAlignment="1" applyProtection="1">
      <alignment horizontal="left" vertical="top" wrapText="1"/>
      <protection hidden="1"/>
    </xf>
    <xf numFmtId="0" fontId="9" fillId="2" borderId="55" xfId="0" applyFont="1" applyFill="1" applyBorder="1" applyAlignment="1" applyProtection="1">
      <alignment horizontal="left" vertical="top" wrapText="1"/>
      <protection hidden="1"/>
    </xf>
    <xf numFmtId="0" fontId="9" fillId="2" borderId="57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Alignment="1" applyProtection="1">
      <alignment horizont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vertical="center" wrapText="1"/>
      <protection hidden="1"/>
    </xf>
    <xf numFmtId="0" fontId="5" fillId="5" borderId="13" xfId="6" applyFont="1" applyBorder="1" applyAlignment="1" applyProtection="1">
      <alignment horizontal="center" vertical="center" wrapText="1"/>
      <protection hidden="1"/>
    </xf>
    <xf numFmtId="0" fontId="5" fillId="5" borderId="14" xfId="6" applyFont="1" applyBorder="1" applyAlignment="1" applyProtection="1">
      <alignment horizontal="center" vertical="center" wrapText="1"/>
      <protection hidden="1"/>
    </xf>
    <xf numFmtId="167" fontId="5" fillId="5" borderId="8" xfId="6" applyNumberFormat="1" applyFont="1" applyBorder="1" applyAlignment="1" applyProtection="1">
      <alignment horizontal="center" vertical="center" wrapText="1"/>
      <protection hidden="1"/>
    </xf>
    <xf numFmtId="167" fontId="5" fillId="5" borderId="5" xfId="6" applyNumberFormat="1" applyFont="1" applyBorder="1" applyAlignment="1" applyProtection="1">
      <alignment horizontal="center" vertical="center" wrapText="1"/>
      <protection hidden="1"/>
    </xf>
    <xf numFmtId="167" fontId="5" fillId="5" borderId="13" xfId="6" applyNumberFormat="1" applyFont="1" applyBorder="1" applyAlignment="1" applyProtection="1">
      <alignment horizontal="center" vertical="center" wrapText="1"/>
      <protection hidden="1"/>
    </xf>
    <xf numFmtId="167" fontId="5" fillId="5" borderId="14" xfId="6" applyNumberFormat="1" applyFont="1" applyBorder="1" applyAlignment="1" applyProtection="1">
      <alignment horizontal="center" vertical="center" wrapText="1"/>
      <protection hidden="1"/>
    </xf>
    <xf numFmtId="167" fontId="5" fillId="5" borderId="15" xfId="6" applyNumberFormat="1" applyFont="1" applyBorder="1" applyAlignment="1" applyProtection="1">
      <alignment horizontal="center" vertical="center" wrapText="1"/>
      <protection hidden="1"/>
    </xf>
    <xf numFmtId="0" fontId="5" fillId="5" borderId="32" xfId="6" applyFont="1" applyBorder="1" applyAlignment="1" applyProtection="1">
      <alignment horizontal="center" vertical="center" wrapText="1"/>
      <protection hidden="1"/>
    </xf>
    <xf numFmtId="0" fontId="5" fillId="5" borderId="36" xfId="6" applyFont="1" applyBorder="1" applyAlignment="1" applyProtection="1">
      <alignment horizontal="center" vertical="center" wrapText="1"/>
      <protection hidden="1"/>
    </xf>
    <xf numFmtId="0" fontId="5" fillId="5" borderId="4" xfId="6" applyFont="1" applyBorder="1" applyAlignment="1" applyProtection="1">
      <alignment horizontal="center" vertical="center" wrapText="1"/>
      <protection hidden="1"/>
    </xf>
    <xf numFmtId="0" fontId="5" fillId="5" borderId="7" xfId="6" applyFont="1" applyBorder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right" vertical="center"/>
      <protection hidden="1"/>
    </xf>
    <xf numFmtId="167" fontId="3" fillId="8" borderId="43" xfId="5" applyNumberFormat="1" applyFont="1" applyFill="1" applyBorder="1" applyAlignment="1" applyProtection="1">
      <alignment horizontal="center" vertical="center" wrapText="1"/>
      <protection hidden="1"/>
    </xf>
    <xf numFmtId="167" fontId="3" fillId="8" borderId="31" xfId="5" applyNumberFormat="1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top" wrapText="1"/>
      <protection hidden="1"/>
    </xf>
    <xf numFmtId="0" fontId="3" fillId="2" borderId="9" xfId="0" applyFont="1" applyFill="1" applyBorder="1" applyAlignment="1" applyProtection="1">
      <alignment horizontal="center" vertical="top" wrapText="1"/>
      <protection hidden="1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5" fillId="5" borderId="8" xfId="6" applyFont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left" vertical="top" wrapText="1"/>
      <protection hidden="1"/>
    </xf>
    <xf numFmtId="0" fontId="3" fillId="2" borderId="4" xfId="0" applyFont="1" applyFill="1" applyBorder="1" applyAlignment="1" applyProtection="1">
      <alignment horizontal="left" vertical="top" wrapText="1"/>
      <protection hidden="1"/>
    </xf>
    <xf numFmtId="0" fontId="3" fillId="2" borderId="9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" fillId="2" borderId="32" xfId="0" applyFont="1" applyFill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hidden="1"/>
    </xf>
    <xf numFmtId="0" fontId="1" fillId="2" borderId="46" xfId="0" applyFont="1" applyFill="1" applyBorder="1" applyAlignment="1" applyProtection="1">
      <alignment horizontal="center" vertical="center" wrapText="1"/>
      <protection hidden="1"/>
    </xf>
    <xf numFmtId="167" fontId="3" fillId="4" borderId="35" xfId="5" applyNumberFormat="1" applyFont="1" applyFill="1" applyBorder="1" applyAlignment="1" applyProtection="1">
      <alignment horizontal="center" vertical="center" wrapText="1"/>
      <protection hidden="1"/>
    </xf>
    <xf numFmtId="167" fontId="3" fillId="4" borderId="48" xfId="5" applyNumberFormat="1" applyFont="1" applyFill="1" applyBorder="1" applyAlignment="1" applyProtection="1">
      <alignment horizontal="center" vertical="center" wrapText="1"/>
      <protection hidden="1"/>
    </xf>
    <xf numFmtId="167" fontId="3" fillId="4" borderId="37" xfId="5" applyNumberFormat="1" applyFont="1" applyFill="1" applyBorder="1" applyAlignment="1" applyProtection="1">
      <alignment horizontal="center" vertical="center" wrapText="1"/>
      <protection hidden="1"/>
    </xf>
    <xf numFmtId="167" fontId="3" fillId="4" borderId="33" xfId="5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1" fillId="2" borderId="62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5" fillId="5" borderId="2" xfId="6" applyFont="1" applyBorder="1" applyAlignment="1" applyProtection="1">
      <alignment horizontal="center" vertical="center" wrapText="1"/>
      <protection hidden="1"/>
    </xf>
    <xf numFmtId="167" fontId="5" fillId="5" borderId="49" xfId="6" applyNumberFormat="1" applyFont="1" applyBorder="1" applyAlignment="1" applyProtection="1">
      <alignment horizontal="center" vertical="center" wrapText="1"/>
      <protection hidden="1"/>
    </xf>
    <xf numFmtId="167" fontId="16" fillId="0" borderId="59" xfId="5" applyNumberFormat="1" applyFont="1" applyBorder="1" applyAlignment="1">
      <alignment horizontal="center" vertical="center"/>
    </xf>
    <xf numFmtId="167" fontId="16" fillId="0" borderId="60" xfId="5" applyNumberFormat="1" applyFont="1" applyBorder="1" applyAlignment="1">
      <alignment horizontal="center" vertical="center"/>
    </xf>
    <xf numFmtId="167" fontId="16" fillId="0" borderId="61" xfId="5" applyNumberFormat="1" applyFont="1" applyBorder="1" applyAlignment="1">
      <alignment horizontal="center" vertical="center"/>
    </xf>
    <xf numFmtId="167" fontId="0" fillId="0" borderId="68" xfId="5" applyNumberFormat="1" applyFont="1" applyBorder="1" applyAlignment="1">
      <alignment horizontal="center" vertical="center"/>
    </xf>
    <xf numFmtId="167" fontId="0" fillId="0" borderId="69" xfId="5" applyNumberFormat="1" applyFont="1" applyBorder="1" applyAlignment="1">
      <alignment horizontal="center" vertical="center"/>
    </xf>
    <xf numFmtId="167" fontId="0" fillId="0" borderId="70" xfId="5" applyNumberFormat="1" applyFont="1" applyBorder="1" applyAlignment="1">
      <alignment horizontal="center" vertical="center"/>
    </xf>
    <xf numFmtId="167" fontId="16" fillId="0" borderId="100" xfId="5" applyNumberFormat="1" applyFont="1" applyBorder="1" applyAlignment="1">
      <alignment horizontal="center" vertical="center"/>
    </xf>
    <xf numFmtId="167" fontId="16" fillId="0" borderId="92" xfId="5" applyNumberFormat="1" applyFont="1" applyBorder="1" applyAlignment="1">
      <alignment horizontal="center" vertical="center"/>
    </xf>
    <xf numFmtId="167" fontId="16" fillId="0" borderId="101" xfId="5" applyNumberFormat="1" applyFont="1" applyBorder="1" applyAlignment="1">
      <alignment horizontal="center" vertical="center"/>
    </xf>
    <xf numFmtId="0" fontId="0" fillId="2" borderId="64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167" fontId="16" fillId="0" borderId="99" xfId="5" applyNumberFormat="1" applyFont="1" applyBorder="1" applyAlignment="1">
      <alignment horizontal="center" vertical="center"/>
    </xf>
    <xf numFmtId="167" fontId="0" fillId="0" borderId="99" xfId="5" applyNumberFormat="1" applyFont="1" applyBorder="1" applyAlignment="1">
      <alignment horizontal="center" vertical="center"/>
    </xf>
    <xf numFmtId="167" fontId="5" fillId="5" borderId="32" xfId="6" applyNumberFormat="1" applyFont="1" applyBorder="1" applyAlignment="1" applyProtection="1">
      <alignment horizontal="center" vertical="center" wrapText="1"/>
      <protection hidden="1"/>
    </xf>
    <xf numFmtId="167" fontId="5" fillId="5" borderId="36" xfId="6" applyNumberFormat="1" applyFont="1" applyBorder="1" applyAlignment="1" applyProtection="1">
      <alignment horizontal="center" vertical="center" wrapText="1"/>
      <protection hidden="1"/>
    </xf>
    <xf numFmtId="167" fontId="5" fillId="5" borderId="2" xfId="6" applyNumberFormat="1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left" vertical="top" wrapText="1"/>
    </xf>
    <xf numFmtId="167" fontId="5" fillId="5" borderId="3" xfId="6" applyNumberFormat="1" applyFont="1" applyBorder="1" applyAlignment="1" applyProtection="1">
      <alignment horizontal="center" vertical="center" wrapText="1"/>
      <protection hidden="1"/>
    </xf>
    <xf numFmtId="0" fontId="0" fillId="2" borderId="64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167" fontId="5" fillId="5" borderId="8" xfId="6" applyNumberFormat="1" applyFont="1" applyBorder="1" applyAlignment="1">
      <alignment horizontal="center" vertical="center" wrapText="1"/>
    </xf>
    <xf numFmtId="167" fontId="5" fillId="5" borderId="5" xfId="6" applyNumberFormat="1" applyFont="1" applyBorder="1" applyAlignment="1">
      <alignment horizontal="center" vertical="center" wrapText="1"/>
    </xf>
    <xf numFmtId="167" fontId="5" fillId="5" borderId="2" xfId="6" applyNumberFormat="1" applyFont="1" applyBorder="1" applyAlignment="1">
      <alignment horizontal="center" vertical="center" wrapText="1"/>
    </xf>
    <xf numFmtId="167" fontId="5" fillId="5" borderId="3" xfId="6" applyNumberFormat="1" applyFont="1" applyBorder="1" applyAlignment="1">
      <alignment horizontal="center" vertical="center" wrapText="1"/>
    </xf>
    <xf numFmtId="0" fontId="5" fillId="5" borderId="13" xfId="6" applyFont="1" applyBorder="1" applyAlignment="1">
      <alignment horizontal="center" vertical="center" wrapText="1"/>
    </xf>
    <xf numFmtId="0" fontId="5" fillId="5" borderId="14" xfId="6" applyFont="1" applyBorder="1" applyAlignment="1">
      <alignment horizontal="center" vertical="center" wrapText="1"/>
    </xf>
    <xf numFmtId="0" fontId="5" fillId="5" borderId="5" xfId="6" applyFont="1" applyBorder="1" applyAlignment="1">
      <alignment horizontal="center" vertical="center" wrapText="1"/>
    </xf>
    <xf numFmtId="0" fontId="5" fillId="5" borderId="15" xfId="6" applyFont="1" applyBorder="1" applyAlignment="1">
      <alignment horizontal="center" vertical="center" wrapText="1"/>
    </xf>
    <xf numFmtId="0" fontId="21" fillId="5" borderId="13" xfId="6" applyFont="1" applyBorder="1" applyAlignment="1">
      <alignment horizontal="center" vertical="center"/>
    </xf>
    <xf numFmtId="0" fontId="21" fillId="5" borderId="14" xfId="6" applyFont="1" applyBorder="1" applyAlignment="1">
      <alignment horizontal="center" vertical="center"/>
    </xf>
    <xf numFmtId="0" fontId="21" fillId="5" borderId="15" xfId="6" applyFont="1" applyBorder="1" applyAlignment="1">
      <alignment horizontal="center" vertical="center"/>
    </xf>
    <xf numFmtId="0" fontId="21" fillId="5" borderId="13" xfId="6" applyFont="1" applyBorder="1" applyAlignment="1">
      <alignment horizontal="center" vertical="center" wrapText="1"/>
    </xf>
    <xf numFmtId="0" fontId="21" fillId="5" borderId="14" xfId="6" applyFont="1" applyBorder="1" applyAlignment="1">
      <alignment horizontal="center" vertical="center" wrapText="1"/>
    </xf>
    <xf numFmtId="0" fontId="21" fillId="5" borderId="15" xfId="6" applyFont="1" applyBorder="1" applyAlignment="1">
      <alignment horizontal="center" vertical="center" wrapText="1"/>
    </xf>
    <xf numFmtId="167" fontId="5" fillId="5" borderId="13" xfId="6" applyNumberFormat="1" applyFont="1" applyBorder="1" applyAlignment="1">
      <alignment horizontal="center" vertical="center"/>
    </xf>
    <xf numFmtId="167" fontId="5" fillId="5" borderId="14" xfId="6" applyNumberFormat="1" applyFont="1" applyBorder="1" applyAlignment="1">
      <alignment horizontal="center" vertical="center"/>
    </xf>
    <xf numFmtId="167" fontId="5" fillId="5" borderId="13" xfId="6" applyNumberFormat="1" applyFont="1" applyBorder="1" applyAlignment="1">
      <alignment horizontal="center" vertical="center" wrapText="1"/>
    </xf>
    <xf numFmtId="167" fontId="5" fillId="5" borderId="15" xfId="6" applyNumberFormat="1" applyFont="1" applyBorder="1" applyAlignment="1">
      <alignment horizontal="center" vertical="center" wrapText="1"/>
    </xf>
    <xf numFmtId="167" fontId="3" fillId="8" borderId="77" xfId="5" applyNumberFormat="1" applyFont="1" applyFill="1" applyBorder="1" applyAlignment="1" applyProtection="1">
      <alignment horizontal="left" vertical="center"/>
      <protection hidden="1"/>
    </xf>
    <xf numFmtId="166" fontId="23" fillId="0" borderId="68" xfId="0" applyNumberFormat="1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67" fontId="3" fillId="8" borderId="36" xfId="5" applyNumberFormat="1" applyFont="1" applyFill="1" applyBorder="1" applyAlignment="1" applyProtection="1">
      <alignment horizontal="left" vertical="center"/>
      <protection hidden="1"/>
    </xf>
  </cellXfs>
  <cellStyles count="22">
    <cellStyle name="Акцент1" xfId="6" builtinId="29"/>
    <cellStyle name="Денежный" xfId="5" builtinId="4"/>
    <cellStyle name="Денежный 2" xfId="3"/>
    <cellStyle name="Денежный 2 2" xfId="9"/>
    <cellStyle name="Денежный 2 3" xfId="10"/>
    <cellStyle name="Денежный 2 4" xfId="11"/>
    <cellStyle name="Денежный 2 5" xfId="8"/>
    <cellStyle name="Денежный 3" xfId="12"/>
    <cellStyle name="Денежный 4" xfId="13"/>
    <cellStyle name="Денежный 5" xfId="14"/>
    <cellStyle name="Денежный 6" xfId="15"/>
    <cellStyle name="Обычный" xfId="0" builtinId="0"/>
    <cellStyle name="Обычный 2" xfId="1"/>
    <cellStyle name="Обычный 3" xfId="4"/>
    <cellStyle name="Обычный 3 2" xfId="16"/>
    <cellStyle name="Обычный 4" xfId="17"/>
    <cellStyle name="Обычный 5" xfId="18"/>
    <cellStyle name="Обычный 6" xfId="19"/>
    <cellStyle name="Обычный 7" xfId="20"/>
    <cellStyle name="Обычный 8" xfId="21"/>
    <cellStyle name="Обычный 9" xfId="7"/>
    <cellStyle name="Процентный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173403</xdr:rowOff>
    </xdr:from>
    <xdr:to>
      <xdr:col>8</xdr:col>
      <xdr:colOff>0</xdr:colOff>
      <xdr:row>29</xdr:row>
      <xdr:rowOff>122302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84" t="5042" b="3082"/>
        <a:stretch/>
      </xdr:blipFill>
      <xdr:spPr>
        <a:xfrm>
          <a:off x="0" y="4195884"/>
          <a:ext cx="6081346" cy="185389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5"/>
  <sheetViews>
    <sheetView tabSelected="1" workbookViewId="0">
      <selection activeCell="F5" sqref="F5"/>
    </sheetView>
  </sheetViews>
  <sheetFormatPr defaultRowHeight="15" x14ac:dyDescent="0.25"/>
  <cols>
    <col min="1" max="1" width="45.85546875" bestFit="1" customWidth="1"/>
    <col min="3" max="3" width="37.140625" bestFit="1" customWidth="1"/>
  </cols>
  <sheetData>
    <row r="1" spans="1:3" ht="36" x14ac:dyDescent="0.55000000000000004">
      <c r="A1" s="51" t="s">
        <v>132</v>
      </c>
    </row>
    <row r="2" spans="1:3" ht="92.25" x14ac:dyDescent="0.25">
      <c r="A2" s="52" t="s">
        <v>53</v>
      </c>
      <c r="B2" s="52" t="s">
        <v>54</v>
      </c>
      <c r="C2" s="53">
        <v>69</v>
      </c>
    </row>
    <row r="5" spans="1:3" ht="36" x14ac:dyDescent="0.55000000000000004">
      <c r="A5" s="51" t="s">
        <v>55</v>
      </c>
      <c r="C5" s="138">
        <v>43160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C137"/>
  <sheetViews>
    <sheetView view="pageBreakPreview" topLeftCell="A7" zoomScale="85" zoomScaleNormal="85" zoomScaleSheetLayoutView="85" workbookViewId="0">
      <selection activeCell="AB16" sqref="AB16"/>
    </sheetView>
  </sheetViews>
  <sheetFormatPr defaultRowHeight="15" outlineLevelCol="1" x14ac:dyDescent="0.25"/>
  <cols>
    <col min="1" max="1" width="16.42578125" style="67" customWidth="1"/>
    <col min="2" max="2" width="22.28515625" style="67" customWidth="1"/>
    <col min="3" max="3" width="12.140625" style="67" hidden="1" customWidth="1"/>
    <col min="4" max="4" width="4.42578125" style="67" customWidth="1"/>
    <col min="5" max="5" width="0.42578125" style="67" customWidth="1"/>
    <col min="6" max="6" width="3" style="67" hidden="1" customWidth="1"/>
    <col min="7" max="7" width="11.140625" style="67" bestFit="1" customWidth="1"/>
    <col min="8" max="8" width="11.85546875" style="125" customWidth="1" outlineLevel="1"/>
    <col min="9" max="9" width="11.85546875" style="126" customWidth="1"/>
    <col min="10" max="10" width="11.85546875" style="57" customWidth="1" outlineLevel="1"/>
    <col min="11" max="11" width="11.85546875" style="57" customWidth="1"/>
    <col min="12" max="12" width="11.85546875" style="57" customWidth="1" outlineLevel="1"/>
    <col min="13" max="13" width="11.85546875" style="57" customWidth="1"/>
    <col min="14" max="14" width="2.140625" style="57" hidden="1" customWidth="1"/>
    <col min="15" max="15" width="12" style="125" hidden="1" customWidth="1"/>
    <col min="16" max="16" width="11.140625" style="126" hidden="1" customWidth="1"/>
    <col min="17" max="17" width="1.85546875" style="57" hidden="1" customWidth="1"/>
    <col min="18" max="18" width="10.28515625" style="57" hidden="1" customWidth="1"/>
    <col min="19" max="19" width="11" style="57" hidden="1" customWidth="1"/>
    <col min="20" max="20" width="1.85546875" style="57" hidden="1" customWidth="1"/>
    <col min="21" max="21" width="10" style="57" hidden="1" customWidth="1"/>
    <col min="22" max="22" width="11" style="57" hidden="1" customWidth="1"/>
    <col min="23" max="23" width="9.140625" style="57" hidden="1" customWidth="1"/>
    <col min="24" max="24" width="9.5703125" style="57" hidden="1" customWidth="1"/>
    <col min="25" max="25" width="12.28515625" style="57" customWidth="1"/>
    <col min="26" max="27" width="9.140625" style="58" customWidth="1"/>
    <col min="28" max="16384" width="9.140625" style="58"/>
  </cols>
  <sheetData>
    <row r="1" spans="1:26" s="54" customFormat="1" ht="20.25" x14ac:dyDescent="0.3">
      <c r="A1" s="398" t="s">
        <v>188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26" s="54" customFormat="1" ht="15.75" thickBot="1" x14ac:dyDescent="0.3">
      <c r="A2" s="413" t="str">
        <f>'КУРС ЕВРО'!A5</f>
        <v>Прайс действителен с: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139">
        <f>'КУРС ЕВРО'!C5</f>
        <v>43160</v>
      </c>
    </row>
    <row r="3" spans="1:26" s="54" customFormat="1" ht="15.75" thickBot="1" x14ac:dyDescent="0.3">
      <c r="A3" s="55"/>
      <c r="B3" s="56"/>
      <c r="C3" s="56"/>
      <c r="D3" s="56"/>
      <c r="E3" s="56"/>
      <c r="F3" s="56"/>
      <c r="G3" s="56"/>
      <c r="H3" s="406" t="s">
        <v>52</v>
      </c>
      <c r="I3" s="407"/>
      <c r="J3" s="407"/>
      <c r="K3" s="407"/>
      <c r="L3" s="407"/>
      <c r="M3" s="408"/>
      <c r="O3" s="145"/>
      <c r="P3" s="145"/>
      <c r="Q3" s="145"/>
      <c r="R3" s="145"/>
      <c r="S3" s="145"/>
      <c r="T3" s="145"/>
      <c r="U3" s="145"/>
      <c r="V3" s="145"/>
    </row>
    <row r="4" spans="1:26" ht="34.5" customHeight="1" thickBot="1" x14ac:dyDescent="0.3">
      <c r="A4" s="411" t="s">
        <v>15</v>
      </c>
      <c r="B4" s="411"/>
      <c r="C4" s="411"/>
      <c r="D4" s="411"/>
      <c r="E4" s="411"/>
      <c r="F4" s="411"/>
      <c r="G4" s="409" t="s">
        <v>16</v>
      </c>
      <c r="H4" s="404" t="s">
        <v>27</v>
      </c>
      <c r="I4" s="405"/>
      <c r="J4" s="404" t="s">
        <v>71</v>
      </c>
      <c r="K4" s="405"/>
      <c r="L4" s="404" t="s">
        <v>95</v>
      </c>
      <c r="M4" s="405"/>
      <c r="O4" s="144"/>
      <c r="P4" s="144"/>
      <c r="Q4" s="144"/>
      <c r="R4" s="144"/>
      <c r="S4" s="144"/>
      <c r="T4" s="144"/>
      <c r="U4" s="144"/>
      <c r="V4" s="144"/>
    </row>
    <row r="5" spans="1:26" ht="18.75" customHeight="1" thickBot="1" x14ac:dyDescent="0.3">
      <c r="A5" s="412"/>
      <c r="B5" s="412"/>
      <c r="C5" s="412"/>
      <c r="D5" s="412"/>
      <c r="E5" s="412"/>
      <c r="F5" s="412"/>
      <c r="G5" s="410"/>
      <c r="H5" s="59" t="s">
        <v>49</v>
      </c>
      <c r="I5" s="60" t="s">
        <v>50</v>
      </c>
      <c r="J5" s="59" t="s">
        <v>49</v>
      </c>
      <c r="K5" s="60" t="s">
        <v>50</v>
      </c>
      <c r="L5" s="59" t="s">
        <v>49</v>
      </c>
      <c r="M5" s="60" t="s">
        <v>50</v>
      </c>
      <c r="O5" s="144"/>
      <c r="P5" s="144"/>
      <c r="Q5" s="144"/>
      <c r="R5" s="144"/>
      <c r="S5" s="144"/>
      <c r="T5" s="144"/>
      <c r="U5" s="144"/>
      <c r="V5" s="144"/>
    </row>
    <row r="6" spans="1:26" s="61" customFormat="1" ht="15.75" thickBot="1" x14ac:dyDescent="0.3">
      <c r="A6" s="400"/>
      <c r="B6" s="400"/>
      <c r="C6" s="393"/>
      <c r="D6" s="393"/>
      <c r="E6" s="393"/>
      <c r="F6" s="393"/>
      <c r="G6" s="400"/>
    </row>
    <row r="7" spans="1:26" s="66" customFormat="1" ht="15.75" customHeight="1" thickBot="1" x14ac:dyDescent="0.3">
      <c r="A7" s="416" t="s">
        <v>151</v>
      </c>
      <c r="B7" s="62" t="s">
        <v>37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5"/>
      <c r="O7" s="64"/>
      <c r="P7" s="65"/>
      <c r="Q7" s="61"/>
      <c r="R7" s="64"/>
      <c r="S7" s="65"/>
      <c r="T7" s="61"/>
      <c r="U7" s="64"/>
      <c r="V7" s="65"/>
      <c r="W7" s="61"/>
      <c r="X7" s="61"/>
      <c r="Y7" s="61"/>
    </row>
    <row r="8" spans="1:26" ht="15" customHeight="1" x14ac:dyDescent="0.25">
      <c r="A8" s="417"/>
      <c r="B8" s="67" t="s">
        <v>23</v>
      </c>
      <c r="G8" s="68" t="s">
        <v>0</v>
      </c>
      <c r="H8" s="69">
        <f t="shared" ref="H8:H16" si="0">O8*$D$49</f>
        <v>27393</v>
      </c>
      <c r="I8" s="70">
        <f>MROUND(P8*$D$49,500)</f>
        <v>33500</v>
      </c>
      <c r="J8" s="69">
        <f t="shared" ref="J8:J16" si="1">R8*$D$49</f>
        <v>35535</v>
      </c>
      <c r="K8" s="70">
        <f>MROUND(S8*$D$49,500)</f>
        <v>43500</v>
      </c>
      <c r="L8" s="69">
        <f t="shared" ref="L8:L16" si="2">U8*$D$49</f>
        <v>38226</v>
      </c>
      <c r="M8" s="70">
        <f>MROUND(V8*$D$49,500)</f>
        <v>46500</v>
      </c>
      <c r="O8" s="71">
        <v>397</v>
      </c>
      <c r="P8" s="72">
        <v>484.14634146341467</v>
      </c>
      <c r="R8" s="71">
        <v>515</v>
      </c>
      <c r="S8" s="72">
        <v>628.04878048780495</v>
      </c>
      <c r="U8" s="71">
        <v>554</v>
      </c>
      <c r="V8" s="72">
        <v>675.60975609756099</v>
      </c>
      <c r="W8" s="320"/>
      <c r="X8" s="344"/>
      <c r="Y8" s="344"/>
      <c r="Z8" s="344"/>
    </row>
    <row r="9" spans="1:26" x14ac:dyDescent="0.25">
      <c r="A9" s="417"/>
      <c r="B9" s="73" t="s">
        <v>24</v>
      </c>
      <c r="C9" s="73"/>
      <c r="D9" s="73"/>
      <c r="E9" s="73"/>
      <c r="F9" s="73"/>
      <c r="G9" s="74" t="s">
        <v>2</v>
      </c>
      <c r="H9" s="75">
        <f t="shared" si="0"/>
        <v>27807</v>
      </c>
      <c r="I9" s="76">
        <f t="shared" ref="I9:I21" si="3">MROUND(P9*$D$49,500)</f>
        <v>34000</v>
      </c>
      <c r="J9" s="75">
        <f t="shared" si="1"/>
        <v>36984</v>
      </c>
      <c r="K9" s="76">
        <f t="shared" ref="K9:K20" si="4">MROUND(S9*$D$49,500)</f>
        <v>45000</v>
      </c>
      <c r="L9" s="75">
        <f t="shared" si="2"/>
        <v>39675</v>
      </c>
      <c r="M9" s="76">
        <f t="shared" ref="M9:M21" si="5">MROUND(V9*$D$49,500)</f>
        <v>48500</v>
      </c>
      <c r="O9" s="77">
        <v>403</v>
      </c>
      <c r="P9" s="78">
        <v>491.46341463414637</v>
      </c>
      <c r="R9" s="77">
        <v>536</v>
      </c>
      <c r="S9" s="78">
        <v>653.65853658536594</v>
      </c>
      <c r="U9" s="77">
        <v>575</v>
      </c>
      <c r="V9" s="78">
        <v>701.21951219512198</v>
      </c>
      <c r="X9" s="344"/>
      <c r="Y9" s="344"/>
      <c r="Z9" s="344"/>
    </row>
    <row r="10" spans="1:26" ht="15.75" thickBot="1" x14ac:dyDescent="0.3">
      <c r="A10" s="417"/>
      <c r="B10" s="73" t="s">
        <v>32</v>
      </c>
      <c r="C10" s="73"/>
      <c r="D10" s="73"/>
      <c r="E10" s="73"/>
      <c r="F10" s="73"/>
      <c r="G10" s="79" t="s">
        <v>4</v>
      </c>
      <c r="H10" s="80">
        <f t="shared" si="0"/>
        <v>30084</v>
      </c>
      <c r="I10" s="81">
        <f t="shared" si="3"/>
        <v>36500</v>
      </c>
      <c r="J10" s="80">
        <f t="shared" si="1"/>
        <v>41400</v>
      </c>
      <c r="K10" s="81">
        <f t="shared" si="4"/>
        <v>50500</v>
      </c>
      <c r="L10" s="80">
        <f t="shared" si="2"/>
        <v>44022</v>
      </c>
      <c r="M10" s="81">
        <f t="shared" si="5"/>
        <v>53500</v>
      </c>
      <c r="O10" s="82">
        <v>436</v>
      </c>
      <c r="P10" s="83">
        <v>531.70731707317077</v>
      </c>
      <c r="R10" s="82">
        <v>600</v>
      </c>
      <c r="S10" s="83">
        <v>731.70731707317077</v>
      </c>
      <c r="U10" s="82">
        <v>638</v>
      </c>
      <c r="V10" s="83">
        <v>778.04878048780495</v>
      </c>
      <c r="X10" s="344"/>
      <c r="Y10" s="344"/>
      <c r="Z10" s="344"/>
    </row>
    <row r="11" spans="1:26" ht="15.75" thickBot="1" x14ac:dyDescent="0.3">
      <c r="A11" s="417"/>
      <c r="B11" s="142" t="s">
        <v>134</v>
      </c>
      <c r="C11" s="73"/>
      <c r="D11" s="73"/>
      <c r="E11" s="73"/>
      <c r="F11" s="73"/>
      <c r="G11" s="84" t="s">
        <v>6</v>
      </c>
      <c r="H11" s="85">
        <f t="shared" si="0"/>
        <v>31947</v>
      </c>
      <c r="I11" s="86">
        <f t="shared" si="3"/>
        <v>39000</v>
      </c>
      <c r="J11" s="85">
        <f t="shared" si="1"/>
        <v>39882</v>
      </c>
      <c r="K11" s="86">
        <f t="shared" si="4"/>
        <v>48500</v>
      </c>
      <c r="L11" s="85">
        <f t="shared" si="2"/>
        <v>42573</v>
      </c>
      <c r="M11" s="86">
        <f t="shared" si="5"/>
        <v>52000</v>
      </c>
      <c r="O11" s="87">
        <v>463</v>
      </c>
      <c r="P11" s="88">
        <v>564.63414634146341</v>
      </c>
      <c r="R11" s="87">
        <v>578</v>
      </c>
      <c r="S11" s="88">
        <v>704.8780487804878</v>
      </c>
      <c r="U11" s="87">
        <v>617</v>
      </c>
      <c r="V11" s="88">
        <v>752.43902439024396</v>
      </c>
      <c r="X11" s="344"/>
      <c r="Y11" s="344"/>
      <c r="Z11" s="344"/>
    </row>
    <row r="12" spans="1:26" x14ac:dyDescent="0.25">
      <c r="A12" s="417"/>
      <c r="B12" s="67" t="s">
        <v>25</v>
      </c>
      <c r="C12" s="73"/>
      <c r="D12" s="73"/>
      <c r="E12" s="73"/>
      <c r="F12" s="73"/>
      <c r="G12" s="74" t="s">
        <v>7</v>
      </c>
      <c r="H12" s="75">
        <f t="shared" si="0"/>
        <v>32361</v>
      </c>
      <c r="I12" s="76">
        <f>MROUND(P12*$D$49,500)</f>
        <v>39500</v>
      </c>
      <c r="J12" s="75">
        <f t="shared" si="1"/>
        <v>41331</v>
      </c>
      <c r="K12" s="76">
        <f t="shared" si="4"/>
        <v>50500</v>
      </c>
      <c r="L12" s="75">
        <f t="shared" si="2"/>
        <v>44022</v>
      </c>
      <c r="M12" s="76">
        <f t="shared" si="5"/>
        <v>53500</v>
      </c>
      <c r="O12" s="77">
        <v>469</v>
      </c>
      <c r="P12" s="78">
        <v>571.95121951219517</v>
      </c>
      <c r="R12" s="77">
        <v>599</v>
      </c>
      <c r="S12" s="78">
        <v>730.48780487804879</v>
      </c>
      <c r="U12" s="77">
        <v>638</v>
      </c>
      <c r="V12" s="78">
        <v>778.04878048780495</v>
      </c>
      <c r="X12" s="344"/>
      <c r="Y12" s="344"/>
      <c r="Z12" s="344"/>
    </row>
    <row r="13" spans="1:26" ht="15.75" thickBot="1" x14ac:dyDescent="0.3">
      <c r="A13" s="417"/>
      <c r="B13" s="90" t="s">
        <v>26</v>
      </c>
      <c r="C13" s="73"/>
      <c r="D13" s="73"/>
      <c r="E13" s="73"/>
      <c r="F13" s="73"/>
      <c r="G13" s="79" t="s">
        <v>8</v>
      </c>
      <c r="H13" s="80">
        <f t="shared" si="0"/>
        <v>37398</v>
      </c>
      <c r="I13" s="81">
        <f t="shared" si="3"/>
        <v>45500</v>
      </c>
      <c r="J13" s="80">
        <f t="shared" si="1"/>
        <v>46161</v>
      </c>
      <c r="K13" s="81">
        <f t="shared" si="4"/>
        <v>56500</v>
      </c>
      <c r="L13" s="80">
        <f t="shared" si="2"/>
        <v>48783</v>
      </c>
      <c r="M13" s="81">
        <f t="shared" si="5"/>
        <v>59500</v>
      </c>
      <c r="O13" s="82">
        <v>542</v>
      </c>
      <c r="P13" s="83">
        <v>660.97560975609758</v>
      </c>
      <c r="R13" s="82">
        <v>669</v>
      </c>
      <c r="S13" s="83">
        <v>815.85365853658539</v>
      </c>
      <c r="U13" s="82">
        <v>707</v>
      </c>
      <c r="V13" s="83">
        <v>862.19512195121956</v>
      </c>
      <c r="X13" s="344"/>
      <c r="Y13" s="344"/>
      <c r="Z13" s="344"/>
    </row>
    <row r="14" spans="1:26" x14ac:dyDescent="0.25">
      <c r="A14" s="417"/>
      <c r="B14" s="90" t="s">
        <v>185</v>
      </c>
      <c r="C14" s="73"/>
      <c r="D14" s="73"/>
      <c r="E14" s="73"/>
      <c r="F14" s="73"/>
      <c r="G14" s="84" t="s">
        <v>9</v>
      </c>
      <c r="H14" s="85">
        <f t="shared" si="0"/>
        <v>33948</v>
      </c>
      <c r="I14" s="86">
        <f t="shared" si="3"/>
        <v>41500</v>
      </c>
      <c r="J14" s="85">
        <f t="shared" si="1"/>
        <v>41814</v>
      </c>
      <c r="K14" s="86">
        <f t="shared" si="4"/>
        <v>51000</v>
      </c>
      <c r="L14" s="85">
        <f t="shared" si="2"/>
        <v>44436</v>
      </c>
      <c r="M14" s="86">
        <f t="shared" si="5"/>
        <v>54000</v>
      </c>
      <c r="O14" s="87">
        <v>492</v>
      </c>
      <c r="P14" s="88">
        <v>600</v>
      </c>
      <c r="R14" s="87">
        <v>606</v>
      </c>
      <c r="S14" s="88">
        <v>739.02439024390253</v>
      </c>
      <c r="U14" s="87">
        <v>644</v>
      </c>
      <c r="V14" s="88">
        <v>785.36585365853659</v>
      </c>
      <c r="X14" s="344"/>
      <c r="Y14" s="344"/>
      <c r="Z14" s="344"/>
    </row>
    <row r="15" spans="1:26" x14ac:dyDescent="0.25">
      <c r="A15" s="417"/>
      <c r="B15" s="73"/>
      <c r="C15" s="73"/>
      <c r="D15" s="73"/>
      <c r="E15" s="73"/>
      <c r="F15" s="73"/>
      <c r="G15" s="74" t="s">
        <v>10</v>
      </c>
      <c r="H15" s="75">
        <f t="shared" si="0"/>
        <v>34362</v>
      </c>
      <c r="I15" s="76">
        <f t="shared" si="3"/>
        <v>42000</v>
      </c>
      <c r="J15" s="75">
        <f t="shared" si="1"/>
        <v>43263</v>
      </c>
      <c r="K15" s="76">
        <f t="shared" si="4"/>
        <v>53000</v>
      </c>
      <c r="L15" s="75">
        <f t="shared" si="2"/>
        <v>45885</v>
      </c>
      <c r="M15" s="76">
        <f t="shared" si="5"/>
        <v>56000</v>
      </c>
      <c r="O15" s="77">
        <v>498</v>
      </c>
      <c r="P15" s="78">
        <v>607.31707317073176</v>
      </c>
      <c r="R15" s="77">
        <v>627</v>
      </c>
      <c r="S15" s="78">
        <v>764.63414634146341</v>
      </c>
      <c r="U15" s="77">
        <v>665</v>
      </c>
      <c r="V15" s="78">
        <v>810.97560975609758</v>
      </c>
      <c r="X15" s="344"/>
      <c r="Y15" s="344"/>
      <c r="Z15" s="344"/>
    </row>
    <row r="16" spans="1:26" ht="15.75" thickBot="1" x14ac:dyDescent="0.3">
      <c r="A16" s="417"/>
      <c r="B16" s="73"/>
      <c r="C16" s="73"/>
      <c r="D16" s="73"/>
      <c r="E16" s="73"/>
      <c r="F16" s="73"/>
      <c r="G16" s="263" t="s">
        <v>11</v>
      </c>
      <c r="H16" s="264">
        <f t="shared" si="0"/>
        <v>39537</v>
      </c>
      <c r="I16" s="265">
        <f t="shared" si="3"/>
        <v>48000</v>
      </c>
      <c r="J16" s="264">
        <f t="shared" si="1"/>
        <v>48162</v>
      </c>
      <c r="K16" s="265">
        <f t="shared" si="4"/>
        <v>58500</v>
      </c>
      <c r="L16" s="264">
        <f t="shared" si="2"/>
        <v>50784</v>
      </c>
      <c r="M16" s="265">
        <f t="shared" si="5"/>
        <v>62000</v>
      </c>
      <c r="O16" s="82">
        <v>573</v>
      </c>
      <c r="P16" s="83">
        <v>698.78048780487813</v>
      </c>
      <c r="R16" s="82">
        <v>698</v>
      </c>
      <c r="S16" s="83">
        <v>851.21951219512198</v>
      </c>
      <c r="U16" s="82">
        <v>736</v>
      </c>
      <c r="V16" s="83">
        <v>897.56097560975616</v>
      </c>
      <c r="X16" s="344"/>
      <c r="Y16" s="344"/>
      <c r="Z16" s="344"/>
    </row>
    <row r="17" spans="1:29" ht="15.75" thickBot="1" x14ac:dyDescent="0.3">
      <c r="A17" s="417"/>
      <c r="B17" s="73"/>
      <c r="C17" s="73"/>
      <c r="D17" s="73"/>
      <c r="E17" s="73"/>
      <c r="F17" s="73"/>
      <c r="G17" s="260" t="s">
        <v>135</v>
      </c>
      <c r="H17" s="261">
        <f t="shared" ref="H17:H21" si="6">O17*$D$49</f>
        <v>39192</v>
      </c>
      <c r="I17" s="262">
        <f t="shared" si="3"/>
        <v>48000</v>
      </c>
      <c r="J17" s="261">
        <f t="shared" ref="J17:J20" si="7">R17*$D$49</f>
        <v>50025</v>
      </c>
      <c r="K17" s="262">
        <f t="shared" si="4"/>
        <v>61000</v>
      </c>
      <c r="L17" s="261">
        <f t="shared" ref="L17:L21" si="8">U17*$D$49</f>
        <v>52716</v>
      </c>
      <c r="M17" s="262">
        <f t="shared" si="5"/>
        <v>64500</v>
      </c>
      <c r="O17" s="258">
        <v>568</v>
      </c>
      <c r="P17" s="259">
        <v>692.68292682926835</v>
      </c>
      <c r="R17" s="258">
        <v>725</v>
      </c>
      <c r="S17" s="259">
        <v>884.14634146341473</v>
      </c>
      <c r="U17" s="258">
        <v>764</v>
      </c>
      <c r="V17" s="259">
        <v>931.70731707317077</v>
      </c>
      <c r="X17" s="344"/>
      <c r="Y17" s="344"/>
      <c r="Z17" s="344"/>
    </row>
    <row r="18" spans="1:29" ht="15.75" customHeight="1" thickBot="1" x14ac:dyDescent="0.3">
      <c r="A18" s="417"/>
      <c r="B18" s="73"/>
      <c r="C18" s="73"/>
      <c r="D18" s="73"/>
      <c r="E18" s="73"/>
      <c r="F18" s="73"/>
      <c r="G18" s="369" t="s">
        <v>166</v>
      </c>
      <c r="H18" s="261">
        <f t="shared" ref="H18" si="9">O18*$D$49</f>
        <v>44781</v>
      </c>
      <c r="I18" s="262">
        <f t="shared" ref="I18" si="10">MROUND(P18*$D$49,500)</f>
        <v>54500</v>
      </c>
      <c r="J18" s="484">
        <f t="shared" ref="J18" si="11">R18*$D$49</f>
        <v>53199</v>
      </c>
      <c r="K18" s="487">
        <f t="shared" ref="K18" si="12">MROUND(S18*$D$49,500)</f>
        <v>65000</v>
      </c>
      <c r="L18" s="261">
        <f t="shared" ref="L18" si="13">U18*$D$49</f>
        <v>55890</v>
      </c>
      <c r="M18" s="262">
        <f t="shared" ref="M18" si="14">MROUND(V18*$D$49,500)</f>
        <v>68000</v>
      </c>
      <c r="O18" s="258">
        <v>649</v>
      </c>
      <c r="P18" s="259">
        <v>791.46341463414637</v>
      </c>
      <c r="R18" s="258">
        <v>771</v>
      </c>
      <c r="S18" s="259">
        <v>940.2439024390244</v>
      </c>
      <c r="U18" s="258">
        <v>810</v>
      </c>
      <c r="V18" s="259">
        <v>987.80487804878055</v>
      </c>
      <c r="X18" s="344"/>
      <c r="Y18" s="344"/>
      <c r="Z18" s="344"/>
    </row>
    <row r="19" spans="1:29" x14ac:dyDescent="0.25">
      <c r="A19" s="417"/>
      <c r="B19" s="73"/>
      <c r="C19" s="73"/>
      <c r="D19" s="73"/>
      <c r="E19" s="73"/>
      <c r="F19" s="73"/>
      <c r="G19" s="68" t="s">
        <v>14</v>
      </c>
      <c r="H19" s="69">
        <f t="shared" si="6"/>
        <v>52371</v>
      </c>
      <c r="I19" s="70">
        <f t="shared" si="3"/>
        <v>64000</v>
      </c>
      <c r="J19" s="69">
        <f t="shared" si="7"/>
        <v>59271</v>
      </c>
      <c r="K19" s="70">
        <f t="shared" si="4"/>
        <v>72500</v>
      </c>
      <c r="L19" s="69">
        <f t="shared" si="8"/>
        <v>61962</v>
      </c>
      <c r="M19" s="70">
        <f t="shared" si="5"/>
        <v>75500</v>
      </c>
      <c r="O19" s="77">
        <v>759</v>
      </c>
      <c r="P19" s="78">
        <v>925.60975609756099</v>
      </c>
      <c r="R19" s="77">
        <v>859</v>
      </c>
      <c r="S19" s="78">
        <v>1047.5609756097563</v>
      </c>
      <c r="U19" s="77">
        <v>898</v>
      </c>
      <c r="V19" s="78">
        <v>1095.1219512195123</v>
      </c>
      <c r="X19" s="344"/>
      <c r="Y19" s="344"/>
      <c r="Z19" s="344"/>
    </row>
    <row r="20" spans="1:29" x14ac:dyDescent="0.25">
      <c r="A20" s="417"/>
      <c r="B20" s="73"/>
      <c r="C20" s="73"/>
      <c r="D20" s="73"/>
      <c r="E20" s="73"/>
      <c r="F20" s="73"/>
      <c r="G20" s="263" t="s">
        <v>43</v>
      </c>
      <c r="H20" s="256">
        <f t="shared" si="6"/>
        <v>52785</v>
      </c>
      <c r="I20" s="257">
        <f t="shared" si="3"/>
        <v>64500</v>
      </c>
      <c r="J20" s="256">
        <f t="shared" si="7"/>
        <v>59685</v>
      </c>
      <c r="K20" s="257">
        <f t="shared" si="4"/>
        <v>73000</v>
      </c>
      <c r="L20" s="256">
        <f t="shared" si="8"/>
        <v>62376</v>
      </c>
      <c r="M20" s="257">
        <f t="shared" si="5"/>
        <v>76000</v>
      </c>
      <c r="O20" s="258">
        <v>765</v>
      </c>
      <c r="P20" s="259">
        <v>932.92682926829275</v>
      </c>
      <c r="R20" s="258">
        <v>865</v>
      </c>
      <c r="S20" s="259">
        <v>1054.8780487804879</v>
      </c>
      <c r="U20" s="258">
        <v>904</v>
      </c>
      <c r="V20" s="259">
        <v>1102.439024390244</v>
      </c>
      <c r="X20" s="344"/>
      <c r="Y20" s="344"/>
      <c r="Z20" s="344"/>
    </row>
    <row r="21" spans="1:29" ht="15.75" thickBot="1" x14ac:dyDescent="0.3">
      <c r="A21" s="418"/>
      <c r="B21" s="89"/>
      <c r="C21" s="89"/>
      <c r="D21" s="89"/>
      <c r="E21" s="89"/>
      <c r="F21" s="89"/>
      <c r="G21" s="260" t="s">
        <v>136</v>
      </c>
      <c r="H21" s="80">
        <f t="shared" si="6"/>
        <v>53130</v>
      </c>
      <c r="I21" s="81">
        <f t="shared" si="3"/>
        <v>65000</v>
      </c>
      <c r="J21" s="414" t="s">
        <v>155</v>
      </c>
      <c r="K21" s="415"/>
      <c r="L21" s="270">
        <f t="shared" si="8"/>
        <v>71070</v>
      </c>
      <c r="M21" s="271">
        <f t="shared" si="5"/>
        <v>86500</v>
      </c>
      <c r="O21" s="82">
        <v>770</v>
      </c>
      <c r="P21" s="83">
        <v>939.02439024390253</v>
      </c>
      <c r="R21" s="82"/>
      <c r="S21" s="83"/>
      <c r="U21" s="82">
        <v>1030</v>
      </c>
      <c r="V21" s="83">
        <v>1256.0975609756099</v>
      </c>
      <c r="X21" s="344"/>
      <c r="Y21" s="344"/>
      <c r="Z21" s="344"/>
      <c r="AA21" s="66"/>
      <c r="AB21" s="66"/>
    </row>
    <row r="22" spans="1:29" s="66" customFormat="1" ht="15.75" thickBot="1" x14ac:dyDescent="0.3">
      <c r="A22" s="401"/>
      <c r="B22" s="401"/>
      <c r="C22" s="401"/>
      <c r="D22" s="401"/>
      <c r="E22" s="401"/>
      <c r="F22" s="401"/>
      <c r="G22" s="393"/>
      <c r="H22" s="91"/>
      <c r="I22" s="91"/>
      <c r="J22" s="92"/>
      <c r="K22" s="92"/>
      <c r="L22" s="394" t="s">
        <v>138</v>
      </c>
      <c r="M22" s="394"/>
      <c r="N22" s="61"/>
      <c r="O22" s="93"/>
      <c r="P22" s="91"/>
      <c r="Q22" s="61"/>
      <c r="R22" s="61"/>
      <c r="S22" s="61"/>
      <c r="T22" s="61"/>
      <c r="U22" s="61"/>
      <c r="V22" s="61"/>
      <c r="W22" s="61"/>
      <c r="X22" s="61"/>
      <c r="Y22" s="61"/>
      <c r="AC22" s="58"/>
    </row>
    <row r="23" spans="1:29" s="66" customFormat="1" ht="30.75" thickBot="1" x14ac:dyDescent="0.3">
      <c r="A23" s="402" t="s">
        <v>38</v>
      </c>
      <c r="B23" s="403"/>
      <c r="C23" s="403"/>
      <c r="D23" s="403"/>
      <c r="E23" s="403"/>
      <c r="F23" s="94"/>
      <c r="G23" s="95"/>
      <c r="H23" s="59" t="s">
        <v>49</v>
      </c>
      <c r="I23" s="60" t="s">
        <v>50</v>
      </c>
      <c r="J23" s="92"/>
      <c r="K23" s="92"/>
      <c r="L23" s="92"/>
      <c r="M23" s="92"/>
      <c r="N23" s="61"/>
      <c r="O23" s="59" t="s">
        <v>17</v>
      </c>
      <c r="P23" s="60" t="s">
        <v>18</v>
      </c>
      <c r="Q23" s="61"/>
      <c r="R23" s="61"/>
      <c r="S23" s="61"/>
      <c r="T23" s="61"/>
      <c r="U23" s="391"/>
      <c r="V23" s="391"/>
      <c r="W23" s="61"/>
      <c r="X23" s="61"/>
      <c r="Y23" s="61"/>
    </row>
    <row r="24" spans="1:29" x14ac:dyDescent="0.25">
      <c r="A24" s="96" t="s">
        <v>39</v>
      </c>
      <c r="B24" s="97"/>
      <c r="C24" s="98"/>
      <c r="D24" s="99"/>
      <c r="E24" s="98"/>
      <c r="F24" s="98"/>
      <c r="G24" s="100"/>
      <c r="H24" s="101">
        <f>O24*$D$49</f>
        <v>2018.6092993898592</v>
      </c>
      <c r="I24" s="102">
        <f>MROUND(P24*$D$49,10)</f>
        <v>2690</v>
      </c>
      <c r="J24" s="103"/>
      <c r="K24" s="103"/>
      <c r="L24" s="103"/>
      <c r="M24" s="103"/>
      <c r="O24" s="104">
        <f>P24*0.75</f>
        <v>29.25520723753419</v>
      </c>
      <c r="P24" s="105">
        <v>39.00694298337892</v>
      </c>
      <c r="R24" s="61"/>
      <c r="S24" s="61"/>
      <c r="T24" s="61"/>
      <c r="U24" s="232"/>
      <c r="V24" s="232"/>
      <c r="W24" s="61"/>
      <c r="X24" s="61"/>
    </row>
    <row r="25" spans="1:29" x14ac:dyDescent="0.25">
      <c r="A25" s="106" t="s">
        <v>40</v>
      </c>
      <c r="B25" s="107"/>
      <c r="D25" s="108"/>
      <c r="G25" s="109"/>
      <c r="H25" s="110">
        <f>O25*$D$49</f>
        <v>8466.9445613296884</v>
      </c>
      <c r="I25" s="111">
        <f t="shared" ref="I25:I27" si="15">MROUND(P25*$D$49,10)</f>
        <v>11290</v>
      </c>
      <c r="J25" s="103"/>
      <c r="K25" s="103"/>
      <c r="L25" s="103"/>
      <c r="M25" s="103"/>
      <c r="O25" s="112">
        <f t="shared" ref="O25:O27" si="16">P25*0.75</f>
        <v>122.7093414685462</v>
      </c>
      <c r="P25" s="113">
        <v>163.61245529139492</v>
      </c>
      <c r="R25" s="61"/>
      <c r="S25" s="61"/>
      <c r="T25" s="61"/>
      <c r="U25" s="232"/>
      <c r="V25" s="232"/>
      <c r="W25" s="61"/>
      <c r="X25" s="61"/>
    </row>
    <row r="26" spans="1:29" x14ac:dyDescent="0.25">
      <c r="A26" s="106" t="s">
        <v>41</v>
      </c>
      <c r="B26" s="107"/>
      <c r="D26" s="108"/>
      <c r="G26" s="109"/>
      <c r="H26" s="110">
        <f>O26*$D$49</f>
        <v>3140.058910162003</v>
      </c>
      <c r="I26" s="111">
        <f t="shared" si="15"/>
        <v>4190</v>
      </c>
      <c r="J26" s="103"/>
      <c r="K26" s="103"/>
      <c r="L26" s="103"/>
      <c r="M26" s="103"/>
      <c r="O26" s="112">
        <f t="shared" si="16"/>
        <v>45.508100147275407</v>
      </c>
      <c r="P26" s="113">
        <v>60.677466863033878</v>
      </c>
      <c r="R26" s="61"/>
      <c r="S26" s="61"/>
      <c r="T26" s="61"/>
      <c r="U26" s="232"/>
      <c r="V26" s="232"/>
      <c r="W26" s="61"/>
      <c r="X26" s="61"/>
    </row>
    <row r="27" spans="1:29" ht="15.75" thickBot="1" x14ac:dyDescent="0.3">
      <c r="A27" s="114" t="s">
        <v>42</v>
      </c>
      <c r="B27" s="115"/>
      <c r="D27" s="116"/>
      <c r="G27" s="117"/>
      <c r="H27" s="110">
        <f>O27*$D$49</f>
        <v>3420.4213128550382</v>
      </c>
      <c r="I27" s="111">
        <f t="shared" si="15"/>
        <v>4560</v>
      </c>
      <c r="J27" s="103"/>
      <c r="K27" s="103"/>
      <c r="L27" s="103"/>
      <c r="M27" s="103"/>
      <c r="O27" s="112">
        <f t="shared" si="16"/>
        <v>49.571323374710701</v>
      </c>
      <c r="P27" s="113">
        <v>66.095097832947602</v>
      </c>
      <c r="R27" s="61"/>
      <c r="S27" s="61"/>
      <c r="T27" s="61"/>
      <c r="U27" s="232"/>
      <c r="V27" s="232"/>
      <c r="W27" s="61"/>
      <c r="X27" s="61"/>
    </row>
    <row r="28" spans="1:29" s="66" customFormat="1" ht="15.75" thickBot="1" x14ac:dyDescent="0.3">
      <c r="A28" s="393"/>
      <c r="B28" s="393"/>
      <c r="C28" s="393"/>
      <c r="D28" s="393"/>
      <c r="E28" s="393"/>
      <c r="F28" s="393"/>
      <c r="G28" s="393"/>
      <c r="H28" s="91"/>
      <c r="I28" s="91"/>
      <c r="J28" s="92"/>
      <c r="K28" s="103"/>
      <c r="L28" s="103"/>
      <c r="M28" s="92"/>
      <c r="N28" s="61"/>
      <c r="O28" s="93"/>
      <c r="P28" s="91"/>
      <c r="Q28" s="61"/>
      <c r="R28" s="61"/>
      <c r="S28" s="61"/>
      <c r="T28" s="61"/>
      <c r="U28" s="61"/>
      <c r="V28" s="61"/>
      <c r="W28" s="61"/>
      <c r="X28" s="61"/>
      <c r="Y28" s="61"/>
    </row>
    <row r="29" spans="1:29" s="66" customFormat="1" ht="30.75" thickBot="1" x14ac:dyDescent="0.3">
      <c r="A29" s="402" t="s">
        <v>58</v>
      </c>
      <c r="B29" s="403"/>
      <c r="C29" s="403"/>
      <c r="D29" s="403"/>
      <c r="E29" s="403"/>
      <c r="F29" s="94"/>
      <c r="G29" s="95"/>
      <c r="H29" s="59" t="s">
        <v>49</v>
      </c>
      <c r="I29" s="60" t="s">
        <v>50</v>
      </c>
      <c r="J29" s="92"/>
      <c r="K29" s="103"/>
      <c r="L29" s="103"/>
      <c r="M29" s="92"/>
      <c r="N29" s="61"/>
      <c r="O29" s="373"/>
      <c r="P29" s="373"/>
      <c r="Q29" s="61"/>
      <c r="R29" s="370"/>
      <c r="S29" s="370"/>
      <c r="T29" s="61"/>
      <c r="U29" s="61"/>
      <c r="V29" s="61"/>
      <c r="W29" s="61"/>
      <c r="X29" s="61"/>
      <c r="Y29" s="61"/>
    </row>
    <row r="30" spans="1:29" customFormat="1" ht="15.75" thickBot="1" x14ac:dyDescent="0.3">
      <c r="A30" s="184" t="s">
        <v>97</v>
      </c>
      <c r="B30" s="164"/>
      <c r="C30" s="164"/>
      <c r="D30" s="164"/>
      <c r="E30" s="164"/>
      <c r="F30" s="164"/>
      <c r="G30" s="164"/>
      <c r="H30" s="164"/>
      <c r="I30" s="185"/>
      <c r="K30" s="103"/>
      <c r="L30" s="103"/>
      <c r="R30" s="371"/>
      <c r="S30" s="371"/>
    </row>
    <row r="31" spans="1:29" x14ac:dyDescent="0.25">
      <c r="A31" s="118" t="s">
        <v>60</v>
      </c>
      <c r="B31" s="97"/>
      <c r="C31" s="98"/>
      <c r="D31" s="99"/>
      <c r="E31" s="98"/>
      <c r="F31" s="98"/>
      <c r="G31" s="100"/>
      <c r="H31" s="148">
        <f>O31*$D$49</f>
        <v>11586.355991271235</v>
      </c>
      <c r="I31" s="102">
        <f>MROUND(P31*$D$49,50)</f>
        <v>14500</v>
      </c>
      <c r="J31" s="103"/>
      <c r="K31" s="103"/>
      <c r="L31" s="103"/>
      <c r="M31" s="103"/>
      <c r="O31" s="372">
        <v>167.9182027720469</v>
      </c>
      <c r="P31" s="372">
        <f>O31/0.8</f>
        <v>209.8977534650586</v>
      </c>
      <c r="R31" s="61"/>
      <c r="S31" s="61"/>
    </row>
    <row r="32" spans="1:29" x14ac:dyDescent="0.25">
      <c r="A32" s="119" t="s">
        <v>61</v>
      </c>
      <c r="B32" s="107"/>
      <c r="D32" s="108"/>
      <c r="G32" s="109"/>
      <c r="H32" s="147">
        <f>O32*$D$49</f>
        <v>12708.519643960224</v>
      </c>
      <c r="I32" s="111">
        <f t="shared" ref="I32:I33" si="17">MROUND(P32*$D$49,50)</f>
        <v>15900</v>
      </c>
      <c r="J32" s="103"/>
      <c r="K32" s="103"/>
      <c r="L32" s="103"/>
      <c r="M32" s="103"/>
      <c r="O32" s="372">
        <v>184.18144411536557</v>
      </c>
      <c r="P32" s="372">
        <f t="shared" ref="P32:P33" si="18">O32/0.8</f>
        <v>230.22680514420693</v>
      </c>
      <c r="R32" s="61"/>
      <c r="S32" s="61"/>
    </row>
    <row r="33" spans="1:22" ht="15.75" thickBot="1" x14ac:dyDescent="0.3">
      <c r="A33" s="120" t="s">
        <v>62</v>
      </c>
      <c r="B33" s="115"/>
      <c r="C33" s="121"/>
      <c r="D33" s="116"/>
      <c r="E33" s="121"/>
      <c r="F33" s="121"/>
      <c r="G33" s="117"/>
      <c r="H33" s="149">
        <f>O33*$D$49</f>
        <v>14950.31543718922</v>
      </c>
      <c r="I33" s="146">
        <f t="shared" si="17"/>
        <v>18700</v>
      </c>
      <c r="J33" s="103"/>
      <c r="K33" s="103"/>
      <c r="L33" s="103"/>
      <c r="M33" s="103"/>
      <c r="O33" s="372">
        <v>216.67123822013363</v>
      </c>
      <c r="P33" s="372">
        <f t="shared" si="18"/>
        <v>270.83904777516705</v>
      </c>
      <c r="R33" s="61"/>
      <c r="S33" s="61"/>
    </row>
    <row r="34" spans="1:22" customFormat="1" ht="15.75" thickBot="1" x14ac:dyDescent="0.3">
      <c r="A34" s="184" t="s">
        <v>98</v>
      </c>
      <c r="B34" s="164"/>
      <c r="C34" s="164"/>
      <c r="D34" s="164"/>
      <c r="E34" s="164"/>
      <c r="F34" s="164"/>
      <c r="G34" s="164"/>
      <c r="H34" s="164"/>
      <c r="I34" s="185"/>
      <c r="K34" s="103"/>
      <c r="L34" s="103"/>
      <c r="R34" s="371"/>
      <c r="S34" s="371"/>
    </row>
    <row r="35" spans="1:22" x14ac:dyDescent="0.25">
      <c r="A35" s="118" t="s">
        <v>57</v>
      </c>
      <c r="B35" s="97"/>
      <c r="C35" s="98"/>
      <c r="D35" s="99"/>
      <c r="E35" s="98"/>
      <c r="F35" s="98"/>
      <c r="G35" s="100"/>
      <c r="H35" s="236">
        <f>O35*$D$49</f>
        <v>16836</v>
      </c>
      <c r="I35" s="237">
        <f>MROUND(P35*$D$49,100)</f>
        <v>20700</v>
      </c>
      <c r="J35" s="103"/>
      <c r="K35" s="103"/>
      <c r="L35" s="103"/>
      <c r="M35" s="103"/>
      <c r="O35" s="372">
        <v>244</v>
      </c>
      <c r="P35" s="372">
        <v>300</v>
      </c>
      <c r="R35" s="249"/>
      <c r="S35" s="249"/>
      <c r="V35" s="323"/>
    </row>
    <row r="36" spans="1:22" x14ac:dyDescent="0.25">
      <c r="A36" s="244" t="s">
        <v>123</v>
      </c>
      <c r="B36" s="239"/>
      <c r="C36" s="240"/>
      <c r="D36" s="241"/>
      <c r="E36" s="240"/>
      <c r="F36" s="240"/>
      <c r="G36" s="242"/>
      <c r="H36" s="245">
        <f>O36*$D$49</f>
        <v>18603.545399999995</v>
      </c>
      <c r="I36" s="246">
        <f>MROUND(P36*$D$49,100)</f>
        <v>27500</v>
      </c>
      <c r="J36" s="103"/>
      <c r="K36" s="103"/>
      <c r="L36" s="103"/>
      <c r="M36" s="103"/>
      <c r="O36" s="372">
        <v>269.61659999999995</v>
      </c>
      <c r="P36" s="372">
        <v>399</v>
      </c>
      <c r="R36" s="249"/>
      <c r="S36" s="249"/>
      <c r="V36" s="323"/>
    </row>
    <row r="37" spans="1:22" x14ac:dyDescent="0.25">
      <c r="A37" s="244" t="s">
        <v>124</v>
      </c>
      <c r="B37" s="239"/>
      <c r="C37" s="240"/>
      <c r="D37" s="241"/>
      <c r="E37" s="240"/>
      <c r="F37" s="240"/>
      <c r="G37" s="242"/>
      <c r="H37" s="247">
        <f>O37*$D$49</f>
        <v>22317.622200000002</v>
      </c>
      <c r="I37" s="248">
        <f>MROUND(P37*$D$49,100)</f>
        <v>33100</v>
      </c>
      <c r="J37" s="103"/>
      <c r="K37" s="103"/>
      <c r="L37" s="103"/>
      <c r="M37" s="103"/>
      <c r="O37" s="372">
        <v>323.44380000000001</v>
      </c>
      <c r="P37" s="372">
        <v>479</v>
      </c>
      <c r="R37" s="249"/>
      <c r="S37" s="249"/>
      <c r="V37" s="323"/>
    </row>
    <row r="38" spans="1:22" ht="15" customHeight="1" x14ac:dyDescent="0.25">
      <c r="A38" s="238" t="s">
        <v>186</v>
      </c>
      <c r="B38" s="239"/>
      <c r="C38" s="240"/>
      <c r="D38" s="241"/>
      <c r="E38" s="240"/>
      <c r="F38" s="240"/>
      <c r="G38" s="242"/>
      <c r="H38" s="110">
        <f>O38*$D$49</f>
        <v>728.94224700189352</v>
      </c>
      <c r="I38" s="111">
        <f t="shared" ref="I38:I46" si="19">MROUND(P38*$D$49,10)</f>
        <v>970</v>
      </c>
      <c r="J38" s="103"/>
      <c r="K38" s="103"/>
      <c r="L38" s="103"/>
      <c r="M38" s="103"/>
      <c r="O38" s="372">
        <f>P38*0.75</f>
        <v>10.56438039133179</v>
      </c>
      <c r="P38" s="372">
        <v>14.085840521775721</v>
      </c>
      <c r="R38" s="61"/>
      <c r="S38" s="61"/>
    </row>
    <row r="39" spans="1:22" ht="15" customHeight="1" thickBot="1" x14ac:dyDescent="0.3">
      <c r="A39" s="120" t="s">
        <v>125</v>
      </c>
      <c r="B39" s="115"/>
      <c r="C39" s="121"/>
      <c r="D39" s="116"/>
      <c r="E39" s="121"/>
      <c r="F39" s="121"/>
      <c r="G39" s="117"/>
      <c r="H39" s="243">
        <f>O39*$D$49</f>
        <v>3467.25</v>
      </c>
      <c r="I39" s="146">
        <f t="shared" si="19"/>
        <v>4620</v>
      </c>
      <c r="J39" s="103"/>
      <c r="K39" s="103"/>
      <c r="L39" s="103"/>
      <c r="M39" s="103"/>
      <c r="O39" s="372">
        <f>P39*0.75</f>
        <v>50.25</v>
      </c>
      <c r="P39" s="372">
        <v>67</v>
      </c>
      <c r="R39" s="61"/>
      <c r="S39" s="61"/>
    </row>
    <row r="40" spans="1:22" customFormat="1" ht="15.75" thickBot="1" x14ac:dyDescent="0.3">
      <c r="A40" s="184" t="s">
        <v>99</v>
      </c>
      <c r="B40" s="164"/>
      <c r="C40" s="164"/>
      <c r="D40" s="164"/>
      <c r="E40" s="164"/>
      <c r="F40" s="164"/>
      <c r="G40" s="164"/>
      <c r="H40" s="164"/>
      <c r="I40" s="185"/>
      <c r="K40" s="103"/>
      <c r="L40" s="103"/>
      <c r="P40" s="390"/>
      <c r="R40" s="371"/>
      <c r="S40" s="371"/>
    </row>
    <row r="41" spans="1:22" s="57" customFormat="1" ht="43.5" customHeight="1" x14ac:dyDescent="0.25">
      <c r="A41" s="395" t="s">
        <v>131</v>
      </c>
      <c r="B41" s="396"/>
      <c r="C41" s="396"/>
      <c r="D41" s="396"/>
      <c r="E41" s="396"/>
      <c r="F41" s="396"/>
      <c r="G41" s="397"/>
      <c r="H41" s="236">
        <f>O41*$D$49</f>
        <v>26220</v>
      </c>
      <c r="I41" s="237">
        <f>MROUND(P41*$D$49,100)</f>
        <v>32200</v>
      </c>
      <c r="J41" s="250"/>
      <c r="K41" s="103"/>
      <c r="L41" s="103"/>
      <c r="M41" s="103"/>
      <c r="O41" s="372">
        <v>380</v>
      </c>
      <c r="P41" s="372">
        <v>466</v>
      </c>
      <c r="R41" s="249"/>
      <c r="S41" s="249"/>
      <c r="V41" s="323"/>
    </row>
    <row r="42" spans="1:22" s="57" customFormat="1" x14ac:dyDescent="0.25">
      <c r="A42" s="244" t="s">
        <v>129</v>
      </c>
      <c r="B42" s="239"/>
      <c r="C42" s="240"/>
      <c r="D42" s="241"/>
      <c r="E42" s="240"/>
      <c r="F42" s="240"/>
      <c r="G42" s="242"/>
      <c r="H42" s="245">
        <f t="shared" ref="H42:H46" si="20">O42*$D$49</f>
        <v>32398.687800000003</v>
      </c>
      <c r="I42" s="246">
        <f>MROUND(P42*$D$49,100)</f>
        <v>48000</v>
      </c>
      <c r="J42" s="103"/>
      <c r="K42" s="103"/>
      <c r="L42" s="103"/>
      <c r="M42" s="103"/>
      <c r="O42" s="372">
        <v>469.54620000000006</v>
      </c>
      <c r="P42" s="372">
        <v>696</v>
      </c>
      <c r="R42" s="249"/>
      <c r="S42" s="249"/>
      <c r="V42" s="323"/>
    </row>
    <row r="43" spans="1:22" s="57" customFormat="1" x14ac:dyDescent="0.25">
      <c r="A43" s="244" t="s">
        <v>130</v>
      </c>
      <c r="B43" s="239"/>
      <c r="C43" s="240"/>
      <c r="D43" s="241"/>
      <c r="E43" s="240"/>
      <c r="F43" s="240"/>
      <c r="G43" s="242"/>
      <c r="H43" s="245">
        <f t="shared" si="20"/>
        <v>39959.486999999994</v>
      </c>
      <c r="I43" s="246">
        <f>MROUND(P43*$D$49,100)</f>
        <v>59200</v>
      </c>
      <c r="J43" s="103"/>
      <c r="K43" s="103"/>
      <c r="L43" s="103"/>
      <c r="M43" s="103"/>
      <c r="O43" s="372">
        <v>579.12299999999993</v>
      </c>
      <c r="P43" s="372">
        <v>858</v>
      </c>
      <c r="R43" s="249"/>
      <c r="S43" s="249"/>
      <c r="V43" s="323"/>
    </row>
    <row r="44" spans="1:22" s="57" customFormat="1" x14ac:dyDescent="0.25">
      <c r="A44" s="238" t="s">
        <v>128</v>
      </c>
      <c r="B44" s="239"/>
      <c r="C44" s="240"/>
      <c r="D44" s="241"/>
      <c r="E44" s="240"/>
      <c r="F44" s="240"/>
      <c r="G44" s="242"/>
      <c r="H44" s="110">
        <f>O44*$D$49</f>
        <v>6448.3352619398274</v>
      </c>
      <c r="I44" s="111">
        <f t="shared" si="19"/>
        <v>8600</v>
      </c>
      <c r="J44" s="103"/>
      <c r="K44" s="103"/>
      <c r="L44" s="103"/>
      <c r="M44" s="103"/>
      <c r="O44" s="372">
        <f>P44*0.75</f>
        <v>93.454134231011992</v>
      </c>
      <c r="P44" s="372">
        <v>124.60551230801599</v>
      </c>
      <c r="R44" s="249"/>
      <c r="S44" s="249"/>
    </row>
    <row r="45" spans="1:22" s="57" customFormat="1" x14ac:dyDescent="0.25">
      <c r="A45" s="238" t="s">
        <v>127</v>
      </c>
      <c r="B45" s="239"/>
      <c r="C45" s="240"/>
      <c r="D45" s="241"/>
      <c r="E45" s="240"/>
      <c r="F45" s="240"/>
      <c r="G45" s="242"/>
      <c r="H45" s="110">
        <f t="shared" si="20"/>
        <v>3476.4937933936462</v>
      </c>
      <c r="I45" s="111">
        <f t="shared" si="19"/>
        <v>4640</v>
      </c>
      <c r="J45" s="103"/>
      <c r="K45" s="103"/>
      <c r="L45" s="103"/>
      <c r="M45" s="103"/>
      <c r="O45" s="372">
        <f>P45*0.75</f>
        <v>50.38396802019777</v>
      </c>
      <c r="P45" s="372">
        <v>67.178624026930365</v>
      </c>
      <c r="R45" s="249"/>
      <c r="S45" s="249"/>
    </row>
    <row r="46" spans="1:22" ht="15" customHeight="1" thickBot="1" x14ac:dyDescent="0.3">
      <c r="A46" s="120" t="s">
        <v>126</v>
      </c>
      <c r="B46" s="115"/>
      <c r="C46" s="121"/>
      <c r="D46" s="116"/>
      <c r="E46" s="121"/>
      <c r="F46" s="121"/>
      <c r="G46" s="117"/>
      <c r="H46" s="243">
        <f t="shared" si="20"/>
        <v>3622.5</v>
      </c>
      <c r="I46" s="146">
        <f t="shared" si="19"/>
        <v>4830</v>
      </c>
      <c r="J46" s="103"/>
      <c r="K46" s="103"/>
      <c r="L46" s="103"/>
      <c r="M46" s="103"/>
      <c r="O46" s="372">
        <f>P46*0.75</f>
        <v>52.5</v>
      </c>
      <c r="P46" s="372">
        <v>70</v>
      </c>
      <c r="R46" s="61"/>
      <c r="S46" s="61"/>
    </row>
    <row r="47" spans="1:22" s="57" customFormat="1" x14ac:dyDescent="0.25">
      <c r="H47" s="122"/>
      <c r="I47" s="123"/>
      <c r="O47" s="122"/>
      <c r="P47" s="123"/>
      <c r="R47" s="61"/>
      <c r="S47" s="61"/>
    </row>
    <row r="48" spans="1:22" s="57" customFormat="1" x14ac:dyDescent="0.25">
      <c r="A48" s="67" t="s">
        <v>51</v>
      </c>
      <c r="B48" s="67"/>
      <c r="C48" s="67"/>
      <c r="D48" s="67"/>
      <c r="E48" s="67"/>
      <c r="F48" s="67"/>
      <c r="G48" s="67"/>
      <c r="H48" s="122"/>
      <c r="I48" s="123"/>
      <c r="O48" s="122"/>
      <c r="P48" s="123"/>
    </row>
    <row r="49" spans="1:16" s="57" customFormat="1" x14ac:dyDescent="0.25">
      <c r="A49" s="67" t="s">
        <v>47</v>
      </c>
      <c r="B49" s="67"/>
      <c r="C49" s="67"/>
      <c r="D49" s="124">
        <f>'КУРС ЕВРО'!C2</f>
        <v>69</v>
      </c>
      <c r="E49" s="67" t="s">
        <v>46</v>
      </c>
      <c r="H49" s="122"/>
      <c r="I49" s="123"/>
      <c r="O49" s="122"/>
      <c r="P49" s="123"/>
    </row>
    <row r="50" spans="1:16" s="57" customFormat="1" x14ac:dyDescent="0.25">
      <c r="A50" s="67" t="s">
        <v>48</v>
      </c>
      <c r="B50" s="67"/>
      <c r="C50" s="67"/>
      <c r="D50" s="67"/>
      <c r="E50" s="67"/>
      <c r="F50" s="67"/>
      <c r="G50" s="67"/>
      <c r="H50" s="122"/>
      <c r="I50" s="123"/>
      <c r="O50" s="122"/>
      <c r="P50" s="123"/>
    </row>
    <row r="51" spans="1:16" s="57" customFormat="1" x14ac:dyDescent="0.25">
      <c r="A51" s="253" t="s">
        <v>139</v>
      </c>
      <c r="B51" s="67"/>
      <c r="C51" s="67"/>
      <c r="D51" s="67"/>
      <c r="E51" s="67"/>
      <c r="F51" s="67"/>
      <c r="G51" s="67"/>
      <c r="H51" s="122"/>
      <c r="I51" s="123"/>
      <c r="O51" s="122"/>
      <c r="P51" s="123"/>
    </row>
    <row r="52" spans="1:16" s="57" customFormat="1" x14ac:dyDescent="0.25">
      <c r="A52" s="67"/>
      <c r="B52" s="67"/>
      <c r="C52" s="67"/>
      <c r="D52" s="67"/>
      <c r="E52" s="67"/>
      <c r="F52" s="67"/>
      <c r="G52" s="67"/>
      <c r="H52" s="122"/>
      <c r="I52" s="123"/>
      <c r="O52" s="122"/>
      <c r="P52" s="123"/>
    </row>
    <row r="53" spans="1:16" s="57" customFormat="1" x14ac:dyDescent="0.25">
      <c r="A53" s="67"/>
      <c r="B53" s="67"/>
      <c r="C53" s="67"/>
      <c r="D53" s="67"/>
      <c r="E53" s="67"/>
      <c r="F53" s="67"/>
      <c r="G53" s="67"/>
      <c r="H53" s="122"/>
      <c r="I53" s="123"/>
      <c r="O53" s="122"/>
      <c r="P53" s="123"/>
    </row>
    <row r="54" spans="1:16" s="57" customFormat="1" x14ac:dyDescent="0.25">
      <c r="A54" s="67"/>
      <c r="B54" s="67"/>
      <c r="C54" s="67"/>
      <c r="D54" s="67"/>
      <c r="E54" s="67"/>
      <c r="F54" s="67"/>
      <c r="G54" s="67"/>
      <c r="H54" s="122"/>
      <c r="I54" s="123"/>
      <c r="O54" s="122"/>
      <c r="P54" s="123"/>
    </row>
    <row r="55" spans="1:16" s="57" customFormat="1" x14ac:dyDescent="0.25">
      <c r="B55" s="67"/>
      <c r="C55" s="67"/>
      <c r="D55" s="67"/>
      <c r="E55" s="67"/>
      <c r="F55" s="67"/>
      <c r="G55" s="67"/>
      <c r="H55" s="122"/>
      <c r="I55" s="123"/>
      <c r="O55" s="122"/>
      <c r="P55" s="123"/>
    </row>
    <row r="56" spans="1:16" s="57" customFormat="1" x14ac:dyDescent="0.25">
      <c r="A56" s="67"/>
      <c r="B56" s="67"/>
      <c r="C56" s="67"/>
      <c r="D56" s="67"/>
      <c r="E56" s="67"/>
      <c r="F56" s="67"/>
      <c r="G56" s="67"/>
      <c r="H56" s="122"/>
      <c r="I56" s="123"/>
      <c r="O56" s="122"/>
      <c r="P56" s="123"/>
    </row>
    <row r="57" spans="1:16" s="57" customFormat="1" x14ac:dyDescent="0.25">
      <c r="A57" s="67"/>
      <c r="B57" s="67"/>
      <c r="C57" s="67"/>
      <c r="D57" s="67"/>
      <c r="E57" s="67"/>
      <c r="F57" s="67"/>
      <c r="G57" s="67"/>
      <c r="H57" s="122"/>
      <c r="I57" s="123"/>
      <c r="O57" s="122"/>
      <c r="P57" s="123"/>
    </row>
    <row r="58" spans="1:16" s="57" customFormat="1" x14ac:dyDescent="0.25">
      <c r="A58" s="67"/>
      <c r="B58" s="67"/>
      <c r="C58" s="67"/>
      <c r="D58" s="67"/>
      <c r="E58" s="67"/>
      <c r="F58" s="67"/>
      <c r="G58" s="67"/>
      <c r="H58" s="122"/>
      <c r="I58" s="123"/>
      <c r="O58" s="122"/>
      <c r="P58" s="123"/>
    </row>
    <row r="59" spans="1:16" s="57" customFormat="1" x14ac:dyDescent="0.25">
      <c r="A59" s="67"/>
      <c r="B59" s="67"/>
      <c r="C59" s="67"/>
      <c r="D59" s="67"/>
      <c r="E59" s="67"/>
      <c r="F59" s="67"/>
      <c r="G59" s="67"/>
      <c r="H59" s="122"/>
      <c r="I59" s="123"/>
      <c r="O59" s="122"/>
      <c r="P59" s="123"/>
    </row>
    <row r="60" spans="1:16" s="57" customFormat="1" x14ac:dyDescent="0.25">
      <c r="A60" s="67"/>
      <c r="B60" s="67"/>
      <c r="C60" s="67"/>
      <c r="D60" s="67"/>
      <c r="E60" s="67"/>
      <c r="F60" s="67"/>
      <c r="G60" s="67"/>
      <c r="H60" s="122"/>
      <c r="I60" s="123"/>
      <c r="O60" s="122"/>
      <c r="P60" s="123"/>
    </row>
    <row r="61" spans="1:16" s="57" customFormat="1" x14ac:dyDescent="0.25">
      <c r="A61" s="67"/>
      <c r="B61" s="67"/>
      <c r="C61" s="67"/>
      <c r="D61" s="67"/>
      <c r="E61" s="67"/>
      <c r="F61" s="67"/>
      <c r="G61" s="67"/>
      <c r="H61" s="122"/>
      <c r="I61" s="123"/>
      <c r="O61" s="122"/>
      <c r="P61" s="123"/>
    </row>
    <row r="62" spans="1:16" s="57" customFormat="1" x14ac:dyDescent="0.25">
      <c r="A62" s="67"/>
      <c r="B62" s="67"/>
      <c r="C62" s="67"/>
      <c r="D62" s="67"/>
      <c r="E62" s="67"/>
      <c r="F62" s="67"/>
      <c r="G62" s="67"/>
      <c r="H62" s="122"/>
      <c r="I62" s="123"/>
      <c r="O62" s="122"/>
      <c r="P62" s="123"/>
    </row>
    <row r="63" spans="1:16" s="57" customFormat="1" x14ac:dyDescent="0.25">
      <c r="A63" s="67"/>
      <c r="B63" s="67"/>
      <c r="C63" s="67"/>
      <c r="D63" s="67"/>
      <c r="E63" s="67"/>
      <c r="F63" s="67"/>
      <c r="G63" s="67"/>
      <c r="H63" s="122"/>
      <c r="I63" s="123"/>
      <c r="O63" s="122"/>
      <c r="P63" s="123"/>
    </row>
    <row r="64" spans="1:16" s="57" customFormat="1" x14ac:dyDescent="0.25">
      <c r="A64" s="67"/>
      <c r="B64" s="67"/>
      <c r="C64" s="67"/>
      <c r="D64" s="67"/>
      <c r="E64" s="67"/>
      <c r="F64" s="67"/>
      <c r="G64" s="67"/>
      <c r="H64" s="122"/>
      <c r="I64" s="123"/>
      <c r="O64" s="122"/>
      <c r="P64" s="123"/>
    </row>
    <row r="65" spans="1:16" s="57" customFormat="1" x14ac:dyDescent="0.25">
      <c r="A65" s="67"/>
      <c r="B65" s="67"/>
      <c r="C65" s="67"/>
      <c r="D65" s="67"/>
      <c r="E65" s="67"/>
      <c r="F65" s="67"/>
      <c r="G65" s="67"/>
      <c r="H65" s="122"/>
      <c r="I65" s="123"/>
      <c r="O65" s="122"/>
      <c r="P65" s="123"/>
    </row>
    <row r="66" spans="1:16" s="57" customFormat="1" x14ac:dyDescent="0.25">
      <c r="A66" s="67"/>
      <c r="B66" s="67"/>
      <c r="C66" s="67"/>
      <c r="D66" s="67"/>
      <c r="E66" s="67"/>
      <c r="F66" s="67"/>
      <c r="G66" s="67"/>
      <c r="H66" s="122"/>
      <c r="I66" s="123"/>
      <c r="O66" s="122"/>
      <c r="P66" s="123"/>
    </row>
    <row r="67" spans="1:16" s="57" customFormat="1" x14ac:dyDescent="0.25">
      <c r="A67" s="67"/>
      <c r="B67" s="67"/>
      <c r="C67" s="67"/>
      <c r="D67" s="67"/>
      <c r="E67" s="67"/>
      <c r="F67" s="67"/>
      <c r="G67" s="67"/>
      <c r="H67" s="122"/>
      <c r="I67" s="123"/>
      <c r="O67" s="122"/>
      <c r="P67" s="123"/>
    </row>
    <row r="68" spans="1:16" s="57" customFormat="1" x14ac:dyDescent="0.25">
      <c r="A68" s="67"/>
      <c r="B68" s="67"/>
      <c r="C68" s="67"/>
      <c r="D68" s="67"/>
      <c r="E68" s="67"/>
      <c r="F68" s="67"/>
      <c r="G68" s="67"/>
      <c r="H68" s="122"/>
      <c r="I68" s="123"/>
      <c r="O68" s="122"/>
      <c r="P68" s="123"/>
    </row>
    <row r="69" spans="1:16" s="57" customFormat="1" x14ac:dyDescent="0.25">
      <c r="A69" s="67"/>
      <c r="B69" s="67"/>
      <c r="C69" s="67"/>
      <c r="D69" s="67"/>
      <c r="E69" s="67"/>
      <c r="F69" s="67"/>
      <c r="G69" s="67"/>
      <c r="H69" s="122"/>
      <c r="I69" s="123"/>
      <c r="O69" s="122"/>
      <c r="P69" s="123"/>
    </row>
    <row r="70" spans="1:16" s="57" customFormat="1" x14ac:dyDescent="0.25">
      <c r="A70" s="67"/>
      <c r="B70" s="67"/>
      <c r="C70" s="67"/>
      <c r="D70" s="67"/>
      <c r="E70" s="67"/>
      <c r="F70" s="67"/>
      <c r="G70" s="67"/>
      <c r="H70" s="122"/>
      <c r="I70" s="123"/>
      <c r="O70" s="122"/>
      <c r="P70" s="123"/>
    </row>
    <row r="71" spans="1:16" s="57" customFormat="1" x14ac:dyDescent="0.25">
      <c r="A71" s="67"/>
      <c r="B71" s="67"/>
      <c r="C71" s="67"/>
      <c r="D71" s="67"/>
      <c r="E71" s="67"/>
      <c r="F71" s="67"/>
      <c r="G71" s="67"/>
      <c r="H71" s="122"/>
      <c r="I71" s="123"/>
      <c r="O71" s="122"/>
      <c r="P71" s="123"/>
    </row>
    <row r="72" spans="1:16" s="57" customFormat="1" x14ac:dyDescent="0.25">
      <c r="A72" s="67"/>
      <c r="B72" s="67"/>
      <c r="C72" s="67"/>
      <c r="D72" s="67"/>
      <c r="E72" s="67"/>
      <c r="F72" s="67"/>
      <c r="G72" s="67"/>
      <c r="H72" s="122"/>
      <c r="I72" s="123"/>
      <c r="O72" s="122"/>
      <c r="P72" s="123"/>
    </row>
    <row r="73" spans="1:16" s="57" customFormat="1" x14ac:dyDescent="0.25">
      <c r="A73" s="67"/>
      <c r="B73" s="67"/>
      <c r="C73" s="67"/>
      <c r="D73" s="67"/>
      <c r="E73" s="67"/>
      <c r="F73" s="67"/>
      <c r="G73" s="67"/>
      <c r="H73" s="122"/>
      <c r="I73" s="123"/>
      <c r="O73" s="122"/>
      <c r="P73" s="123"/>
    </row>
    <row r="74" spans="1:16" s="57" customFormat="1" x14ac:dyDescent="0.25">
      <c r="A74" s="67"/>
      <c r="B74" s="67"/>
      <c r="C74" s="67"/>
      <c r="D74" s="67"/>
      <c r="E74" s="67"/>
      <c r="F74" s="67"/>
      <c r="G74" s="67"/>
      <c r="H74" s="122"/>
      <c r="I74" s="123"/>
      <c r="O74" s="122"/>
      <c r="P74" s="123"/>
    </row>
    <row r="75" spans="1:16" s="57" customFormat="1" x14ac:dyDescent="0.25">
      <c r="A75" s="67"/>
      <c r="B75" s="67"/>
      <c r="C75" s="67"/>
      <c r="D75" s="67"/>
      <c r="E75" s="67"/>
      <c r="F75" s="67"/>
      <c r="G75" s="67"/>
      <c r="H75" s="122"/>
      <c r="I75" s="123"/>
      <c r="O75" s="122"/>
      <c r="P75" s="123"/>
    </row>
    <row r="76" spans="1:16" s="57" customFormat="1" x14ac:dyDescent="0.25">
      <c r="A76" s="67"/>
      <c r="B76" s="67"/>
      <c r="C76" s="67"/>
      <c r="D76" s="67"/>
      <c r="E76" s="67"/>
      <c r="F76" s="67"/>
      <c r="G76" s="67"/>
      <c r="H76" s="122"/>
      <c r="I76" s="123"/>
      <c r="O76" s="122"/>
      <c r="P76" s="123"/>
    </row>
    <row r="77" spans="1:16" s="57" customFormat="1" x14ac:dyDescent="0.25">
      <c r="A77" s="67"/>
      <c r="B77" s="67"/>
      <c r="C77" s="67"/>
      <c r="D77" s="67"/>
      <c r="E77" s="67"/>
      <c r="F77" s="67"/>
      <c r="G77" s="67"/>
      <c r="H77" s="122"/>
      <c r="I77" s="123"/>
      <c r="O77" s="122"/>
      <c r="P77" s="123"/>
    </row>
    <row r="78" spans="1:16" s="57" customFormat="1" x14ac:dyDescent="0.25">
      <c r="A78" s="67"/>
      <c r="B78" s="67"/>
      <c r="C78" s="67"/>
      <c r="D78" s="67"/>
      <c r="E78" s="67"/>
      <c r="F78" s="67"/>
      <c r="G78" s="67"/>
      <c r="H78" s="122"/>
      <c r="I78" s="123"/>
      <c r="O78" s="122"/>
      <c r="P78" s="123"/>
    </row>
    <row r="79" spans="1:16" s="57" customFormat="1" x14ac:dyDescent="0.25">
      <c r="A79" s="67"/>
      <c r="B79" s="67"/>
      <c r="C79" s="67"/>
      <c r="D79" s="67"/>
      <c r="E79" s="67"/>
      <c r="F79" s="67"/>
      <c r="G79" s="67"/>
      <c r="H79" s="122"/>
      <c r="I79" s="123"/>
      <c r="O79" s="122"/>
      <c r="P79" s="123"/>
    </row>
    <row r="80" spans="1:16" s="57" customFormat="1" x14ac:dyDescent="0.25">
      <c r="A80" s="67"/>
      <c r="B80" s="67"/>
      <c r="C80" s="67"/>
      <c r="D80" s="67"/>
      <c r="E80" s="67"/>
      <c r="F80" s="67"/>
      <c r="G80" s="67"/>
      <c r="H80" s="122"/>
      <c r="I80" s="123"/>
      <c r="O80" s="122"/>
      <c r="P80" s="123"/>
    </row>
    <row r="81" spans="1:16" s="57" customFormat="1" x14ac:dyDescent="0.25">
      <c r="A81" s="67"/>
      <c r="B81" s="67"/>
      <c r="C81" s="67"/>
      <c r="D81" s="67"/>
      <c r="E81" s="67"/>
      <c r="F81" s="67"/>
      <c r="G81" s="67"/>
      <c r="H81" s="122"/>
      <c r="I81" s="123"/>
      <c r="O81" s="122"/>
      <c r="P81" s="123"/>
    </row>
    <row r="82" spans="1:16" s="57" customFormat="1" x14ac:dyDescent="0.25">
      <c r="A82" s="67"/>
      <c r="B82" s="67"/>
      <c r="C82" s="67"/>
      <c r="D82" s="67"/>
      <c r="E82" s="67"/>
      <c r="F82" s="67"/>
      <c r="G82" s="67"/>
      <c r="H82" s="122"/>
      <c r="I82" s="123"/>
      <c r="O82" s="122"/>
      <c r="P82" s="123"/>
    </row>
    <row r="83" spans="1:16" s="57" customFormat="1" x14ac:dyDescent="0.25">
      <c r="A83" s="67"/>
      <c r="B83" s="67"/>
      <c r="C83" s="67"/>
      <c r="D83" s="67"/>
      <c r="E83" s="67"/>
      <c r="F83" s="67"/>
      <c r="G83" s="67"/>
      <c r="H83" s="122"/>
      <c r="I83" s="123"/>
      <c r="O83" s="122"/>
      <c r="P83" s="123"/>
    </row>
    <row r="84" spans="1:16" s="57" customFormat="1" x14ac:dyDescent="0.25">
      <c r="A84" s="67"/>
      <c r="B84" s="67"/>
      <c r="C84" s="67"/>
      <c r="D84" s="67"/>
      <c r="E84" s="67"/>
      <c r="F84" s="67"/>
      <c r="G84" s="67"/>
      <c r="H84" s="122"/>
      <c r="I84" s="123"/>
      <c r="O84" s="122"/>
      <c r="P84" s="123"/>
    </row>
    <row r="85" spans="1:16" s="57" customFormat="1" x14ac:dyDescent="0.25">
      <c r="A85" s="67"/>
      <c r="B85" s="67"/>
      <c r="C85" s="67"/>
      <c r="D85" s="67"/>
      <c r="E85" s="67"/>
      <c r="F85" s="67"/>
      <c r="G85" s="67"/>
      <c r="H85" s="122"/>
      <c r="I85" s="123"/>
      <c r="O85" s="122"/>
      <c r="P85" s="123"/>
    </row>
    <row r="86" spans="1:16" s="57" customFormat="1" x14ac:dyDescent="0.25">
      <c r="A86" s="67"/>
      <c r="B86" s="67"/>
      <c r="C86" s="67"/>
      <c r="D86" s="67"/>
      <c r="E86" s="67"/>
      <c r="F86" s="67"/>
      <c r="G86" s="67"/>
      <c r="H86" s="122"/>
      <c r="I86" s="123"/>
      <c r="O86" s="122"/>
      <c r="P86" s="123"/>
    </row>
    <row r="87" spans="1:16" s="57" customFormat="1" x14ac:dyDescent="0.25">
      <c r="A87" s="67"/>
      <c r="B87" s="67"/>
      <c r="C87" s="67"/>
      <c r="D87" s="67"/>
      <c r="E87" s="67"/>
      <c r="F87" s="67"/>
      <c r="G87" s="67"/>
      <c r="H87" s="122"/>
      <c r="I87" s="123"/>
      <c r="O87" s="122"/>
      <c r="P87" s="123"/>
    </row>
    <row r="88" spans="1:16" s="57" customFormat="1" x14ac:dyDescent="0.25">
      <c r="A88" s="67"/>
      <c r="B88" s="67"/>
      <c r="C88" s="67"/>
      <c r="D88" s="67"/>
      <c r="E88" s="67"/>
      <c r="F88" s="67"/>
      <c r="G88" s="67"/>
      <c r="H88" s="122"/>
      <c r="I88" s="123"/>
      <c r="O88" s="122"/>
      <c r="P88" s="123"/>
    </row>
    <row r="89" spans="1:16" s="57" customFormat="1" x14ac:dyDescent="0.25">
      <c r="A89" s="67"/>
      <c r="B89" s="67"/>
      <c r="C89" s="67"/>
      <c r="D89" s="67"/>
      <c r="E89" s="67"/>
      <c r="F89" s="67"/>
      <c r="G89" s="67"/>
      <c r="H89" s="122"/>
      <c r="I89" s="123"/>
      <c r="O89" s="122"/>
      <c r="P89" s="123"/>
    </row>
    <row r="90" spans="1:16" s="57" customFormat="1" x14ac:dyDescent="0.25">
      <c r="A90" s="67"/>
      <c r="B90" s="67"/>
      <c r="C90" s="67"/>
      <c r="D90" s="67"/>
      <c r="E90" s="67"/>
      <c r="F90" s="67"/>
      <c r="G90" s="67"/>
      <c r="H90" s="122"/>
      <c r="I90" s="123"/>
      <c r="O90" s="122"/>
      <c r="P90" s="123"/>
    </row>
    <row r="91" spans="1:16" s="57" customFormat="1" x14ac:dyDescent="0.25">
      <c r="A91" s="67"/>
      <c r="B91" s="67"/>
      <c r="C91" s="67"/>
      <c r="D91" s="67"/>
      <c r="E91" s="67"/>
      <c r="F91" s="67"/>
      <c r="G91" s="67"/>
      <c r="H91" s="122"/>
      <c r="I91" s="123"/>
      <c r="O91" s="122"/>
      <c r="P91" s="123"/>
    </row>
    <row r="92" spans="1:16" s="57" customFormat="1" x14ac:dyDescent="0.25">
      <c r="A92" s="67"/>
      <c r="B92" s="67"/>
      <c r="C92" s="67"/>
      <c r="D92" s="67"/>
      <c r="E92" s="67"/>
      <c r="F92" s="67"/>
      <c r="G92" s="67"/>
      <c r="H92" s="122"/>
      <c r="I92" s="123"/>
      <c r="O92" s="122"/>
      <c r="P92" s="123"/>
    </row>
    <row r="93" spans="1:16" s="57" customFormat="1" x14ac:dyDescent="0.25">
      <c r="A93" s="67"/>
      <c r="B93" s="67"/>
      <c r="C93" s="67"/>
      <c r="D93" s="67"/>
      <c r="E93" s="67"/>
      <c r="F93" s="67"/>
      <c r="G93" s="67"/>
      <c r="H93" s="122"/>
      <c r="I93" s="123"/>
      <c r="O93" s="122"/>
      <c r="P93" s="123"/>
    </row>
    <row r="94" spans="1:16" s="57" customFormat="1" x14ac:dyDescent="0.25">
      <c r="A94" s="67"/>
      <c r="B94" s="67"/>
      <c r="C94" s="67"/>
      <c r="D94" s="67"/>
      <c r="E94" s="67"/>
      <c r="F94" s="67"/>
      <c r="G94" s="67"/>
      <c r="H94" s="122"/>
      <c r="I94" s="123"/>
      <c r="O94" s="122"/>
      <c r="P94" s="123"/>
    </row>
    <row r="95" spans="1:16" s="57" customFormat="1" x14ac:dyDescent="0.25">
      <c r="A95" s="67"/>
      <c r="B95" s="67"/>
      <c r="C95" s="67"/>
      <c r="D95" s="67"/>
      <c r="E95" s="67"/>
      <c r="F95" s="67"/>
      <c r="G95" s="67"/>
      <c r="H95" s="122"/>
      <c r="I95" s="123"/>
      <c r="O95" s="122"/>
      <c r="P95" s="123"/>
    </row>
    <row r="96" spans="1:16" s="57" customFormat="1" x14ac:dyDescent="0.25">
      <c r="A96" s="67"/>
      <c r="B96" s="67"/>
      <c r="C96" s="67"/>
      <c r="D96" s="67"/>
      <c r="E96" s="67"/>
      <c r="F96" s="67"/>
      <c r="G96" s="67"/>
      <c r="H96" s="122"/>
      <c r="I96" s="123"/>
      <c r="O96" s="122"/>
      <c r="P96" s="123"/>
    </row>
    <row r="97" spans="1:16" s="57" customFormat="1" x14ac:dyDescent="0.25">
      <c r="A97" s="67"/>
      <c r="B97" s="67"/>
      <c r="C97" s="67"/>
      <c r="D97" s="67"/>
      <c r="E97" s="67"/>
      <c r="F97" s="67"/>
      <c r="G97" s="67"/>
      <c r="H97" s="122"/>
      <c r="I97" s="123"/>
      <c r="O97" s="122"/>
      <c r="P97" s="123"/>
    </row>
    <row r="98" spans="1:16" s="57" customFormat="1" x14ac:dyDescent="0.25">
      <c r="A98" s="67"/>
      <c r="B98" s="67"/>
      <c r="C98" s="67"/>
      <c r="D98" s="67"/>
      <c r="E98" s="67"/>
      <c r="F98" s="67"/>
      <c r="G98" s="67"/>
      <c r="H98" s="122"/>
      <c r="I98" s="123"/>
      <c r="O98" s="122"/>
      <c r="P98" s="123"/>
    </row>
    <row r="99" spans="1:16" s="57" customFormat="1" x14ac:dyDescent="0.25">
      <c r="A99" s="67"/>
      <c r="B99" s="67"/>
      <c r="C99" s="67"/>
      <c r="D99" s="67"/>
      <c r="E99" s="67"/>
      <c r="F99" s="67"/>
      <c r="G99" s="67"/>
      <c r="H99" s="122"/>
      <c r="I99" s="123"/>
      <c r="O99" s="122"/>
      <c r="P99" s="123"/>
    </row>
    <row r="100" spans="1:16" s="57" customFormat="1" x14ac:dyDescent="0.25">
      <c r="A100" s="67"/>
      <c r="B100" s="67"/>
      <c r="C100" s="67"/>
      <c r="D100" s="67"/>
      <c r="E100" s="67"/>
      <c r="F100" s="67"/>
      <c r="G100" s="67"/>
      <c r="H100" s="122"/>
      <c r="I100" s="123"/>
      <c r="O100" s="122"/>
      <c r="P100" s="123"/>
    </row>
    <row r="101" spans="1:16" s="57" customFormat="1" x14ac:dyDescent="0.25">
      <c r="A101" s="67"/>
      <c r="B101" s="67"/>
      <c r="C101" s="67"/>
      <c r="D101" s="67"/>
      <c r="E101" s="67"/>
      <c r="F101" s="67"/>
      <c r="G101" s="67"/>
      <c r="H101" s="122"/>
      <c r="I101" s="123"/>
      <c r="O101" s="122"/>
      <c r="P101" s="123"/>
    </row>
    <row r="102" spans="1:16" s="57" customFormat="1" x14ac:dyDescent="0.25">
      <c r="A102" s="67"/>
      <c r="B102" s="67"/>
      <c r="C102" s="67"/>
      <c r="D102" s="67"/>
      <c r="E102" s="67"/>
      <c r="F102" s="67"/>
      <c r="G102" s="67"/>
      <c r="H102" s="122"/>
      <c r="I102" s="123"/>
      <c r="O102" s="122"/>
      <c r="P102" s="123"/>
    </row>
    <row r="103" spans="1:16" s="57" customFormat="1" x14ac:dyDescent="0.25">
      <c r="A103" s="67"/>
      <c r="B103" s="67"/>
      <c r="C103" s="67"/>
      <c r="D103" s="67"/>
      <c r="E103" s="67"/>
      <c r="F103" s="67"/>
      <c r="G103" s="67"/>
      <c r="H103" s="122"/>
      <c r="I103" s="123"/>
      <c r="O103" s="122"/>
      <c r="P103" s="123"/>
    </row>
    <row r="104" spans="1:16" s="57" customFormat="1" x14ac:dyDescent="0.25">
      <c r="A104" s="67"/>
      <c r="B104" s="67"/>
      <c r="C104" s="67"/>
      <c r="D104" s="67"/>
      <c r="E104" s="67"/>
      <c r="F104" s="67"/>
      <c r="G104" s="67"/>
      <c r="H104" s="122"/>
      <c r="I104" s="123"/>
      <c r="O104" s="122"/>
      <c r="P104" s="123"/>
    </row>
    <row r="105" spans="1:16" s="57" customFormat="1" x14ac:dyDescent="0.25">
      <c r="A105" s="67"/>
      <c r="B105" s="67"/>
      <c r="C105" s="67"/>
      <c r="D105" s="67"/>
      <c r="E105" s="67"/>
      <c r="F105" s="67"/>
      <c r="G105" s="67"/>
      <c r="H105" s="122"/>
      <c r="I105" s="123"/>
      <c r="O105" s="122"/>
      <c r="P105" s="123"/>
    </row>
    <row r="106" spans="1:16" s="57" customFormat="1" x14ac:dyDescent="0.25">
      <c r="A106" s="67"/>
      <c r="B106" s="67"/>
      <c r="C106" s="67"/>
      <c r="D106" s="67"/>
      <c r="E106" s="67"/>
      <c r="F106" s="67"/>
      <c r="G106" s="67"/>
      <c r="H106" s="122"/>
      <c r="I106" s="123"/>
      <c r="O106" s="122"/>
      <c r="P106" s="123"/>
    </row>
    <row r="107" spans="1:16" s="57" customFormat="1" x14ac:dyDescent="0.25">
      <c r="A107" s="67"/>
      <c r="B107" s="67"/>
      <c r="C107" s="67"/>
      <c r="D107" s="67"/>
      <c r="E107" s="67"/>
      <c r="F107" s="67"/>
      <c r="G107" s="67"/>
      <c r="H107" s="122"/>
      <c r="I107" s="123"/>
      <c r="O107" s="122"/>
      <c r="P107" s="123"/>
    </row>
    <row r="108" spans="1:16" s="57" customFormat="1" x14ac:dyDescent="0.25">
      <c r="A108" s="67"/>
      <c r="B108" s="67"/>
      <c r="C108" s="67"/>
      <c r="D108" s="67"/>
      <c r="E108" s="67"/>
      <c r="F108" s="67"/>
      <c r="G108" s="67"/>
      <c r="H108" s="122"/>
      <c r="I108" s="123"/>
      <c r="O108" s="122"/>
      <c r="P108" s="123"/>
    </row>
    <row r="109" spans="1:16" s="57" customFormat="1" x14ac:dyDescent="0.25">
      <c r="A109" s="67"/>
      <c r="B109" s="67"/>
      <c r="C109" s="67"/>
      <c r="D109" s="67"/>
      <c r="E109" s="67"/>
      <c r="F109" s="67"/>
      <c r="G109" s="67"/>
      <c r="H109" s="122"/>
      <c r="I109" s="123"/>
      <c r="O109" s="122"/>
      <c r="P109" s="123"/>
    </row>
    <row r="110" spans="1:16" s="57" customFormat="1" x14ac:dyDescent="0.25">
      <c r="A110" s="67"/>
      <c r="B110" s="67"/>
      <c r="C110" s="67"/>
      <c r="D110" s="67"/>
      <c r="E110" s="67"/>
      <c r="F110" s="67"/>
      <c r="G110" s="67"/>
      <c r="H110" s="122"/>
      <c r="I110" s="123"/>
      <c r="O110" s="122"/>
      <c r="P110" s="123"/>
    </row>
    <row r="111" spans="1:16" s="57" customFormat="1" x14ac:dyDescent="0.25">
      <c r="A111" s="67"/>
      <c r="B111" s="67"/>
      <c r="C111" s="67"/>
      <c r="D111" s="67"/>
      <c r="E111" s="67"/>
      <c r="F111" s="67"/>
      <c r="G111" s="67"/>
      <c r="H111" s="122"/>
      <c r="I111" s="123"/>
      <c r="O111" s="122"/>
      <c r="P111" s="123"/>
    </row>
    <row r="112" spans="1:16" s="57" customFormat="1" x14ac:dyDescent="0.25">
      <c r="A112" s="67"/>
      <c r="B112" s="67"/>
      <c r="C112" s="67"/>
      <c r="D112" s="67"/>
      <c r="E112" s="67"/>
      <c r="F112" s="67"/>
      <c r="G112" s="67"/>
      <c r="H112" s="122"/>
      <c r="I112" s="123"/>
      <c r="O112" s="122"/>
      <c r="P112" s="123"/>
    </row>
    <row r="113" spans="1:16" s="57" customFormat="1" x14ac:dyDescent="0.25">
      <c r="A113" s="67"/>
      <c r="B113" s="67"/>
      <c r="C113" s="67"/>
      <c r="D113" s="67"/>
      <c r="E113" s="67"/>
      <c r="F113" s="67"/>
      <c r="G113" s="67"/>
      <c r="H113" s="122"/>
      <c r="I113" s="123"/>
      <c r="O113" s="122"/>
      <c r="P113" s="123"/>
    </row>
    <row r="114" spans="1:16" s="57" customFormat="1" x14ac:dyDescent="0.25">
      <c r="A114" s="67"/>
      <c r="B114" s="67"/>
      <c r="C114" s="67"/>
      <c r="D114" s="67"/>
      <c r="E114" s="67"/>
      <c r="F114" s="67"/>
      <c r="G114" s="67"/>
      <c r="H114" s="122"/>
      <c r="I114" s="123"/>
      <c r="O114" s="122"/>
      <c r="P114" s="123"/>
    </row>
    <row r="115" spans="1:16" s="57" customFormat="1" x14ac:dyDescent="0.25">
      <c r="A115" s="67"/>
      <c r="B115" s="67"/>
      <c r="C115" s="67"/>
      <c r="D115" s="67"/>
      <c r="E115" s="67"/>
      <c r="F115" s="67"/>
      <c r="G115" s="67"/>
      <c r="H115" s="122"/>
      <c r="I115" s="123"/>
      <c r="O115" s="122"/>
      <c r="P115" s="123"/>
    </row>
    <row r="116" spans="1:16" s="57" customFormat="1" x14ac:dyDescent="0.25">
      <c r="A116" s="67"/>
      <c r="B116" s="67"/>
      <c r="C116" s="67"/>
      <c r="D116" s="67"/>
      <c r="E116" s="67"/>
      <c r="F116" s="67"/>
      <c r="G116" s="67"/>
      <c r="H116" s="122"/>
      <c r="I116" s="123"/>
      <c r="O116" s="122"/>
      <c r="P116" s="123"/>
    </row>
    <row r="117" spans="1:16" s="57" customFormat="1" x14ac:dyDescent="0.25">
      <c r="A117" s="67"/>
      <c r="B117" s="67"/>
      <c r="C117" s="67"/>
      <c r="D117" s="67"/>
      <c r="E117" s="67"/>
      <c r="F117" s="67"/>
      <c r="G117" s="67"/>
      <c r="H117" s="122"/>
      <c r="I117" s="123"/>
      <c r="O117" s="122"/>
      <c r="P117" s="123"/>
    </row>
    <row r="118" spans="1:16" s="57" customFormat="1" x14ac:dyDescent="0.25">
      <c r="A118" s="67"/>
      <c r="B118" s="67"/>
      <c r="C118" s="67"/>
      <c r="D118" s="67"/>
      <c r="E118" s="67"/>
      <c r="F118" s="67"/>
      <c r="G118" s="67"/>
      <c r="H118" s="122"/>
      <c r="I118" s="123"/>
      <c r="O118" s="122"/>
      <c r="P118" s="123"/>
    </row>
    <row r="119" spans="1:16" s="57" customFormat="1" x14ac:dyDescent="0.25">
      <c r="A119" s="67"/>
      <c r="B119" s="67"/>
      <c r="C119" s="67"/>
      <c r="D119" s="67"/>
      <c r="E119" s="67"/>
      <c r="F119" s="67"/>
      <c r="G119" s="67"/>
      <c r="H119" s="122"/>
      <c r="I119" s="123"/>
      <c r="O119" s="122"/>
      <c r="P119" s="123"/>
    </row>
    <row r="120" spans="1:16" s="57" customFormat="1" x14ac:dyDescent="0.25">
      <c r="A120" s="67"/>
      <c r="B120" s="67"/>
      <c r="C120" s="67"/>
      <c r="D120" s="67"/>
      <c r="E120" s="67"/>
      <c r="F120" s="67"/>
      <c r="G120" s="67"/>
      <c r="H120" s="122"/>
      <c r="I120" s="123"/>
      <c r="O120" s="122"/>
      <c r="P120" s="123"/>
    </row>
    <row r="121" spans="1:16" s="57" customFormat="1" x14ac:dyDescent="0.25">
      <c r="A121" s="67"/>
      <c r="B121" s="67"/>
      <c r="C121" s="67"/>
      <c r="D121" s="67"/>
      <c r="E121" s="67"/>
      <c r="F121" s="67"/>
      <c r="G121" s="67"/>
      <c r="H121" s="122"/>
      <c r="I121" s="123"/>
      <c r="O121" s="122"/>
      <c r="P121" s="123"/>
    </row>
    <row r="122" spans="1:16" s="57" customFormat="1" x14ac:dyDescent="0.25">
      <c r="A122" s="67"/>
      <c r="B122" s="67"/>
      <c r="C122" s="67"/>
      <c r="D122" s="67"/>
      <c r="E122" s="67"/>
      <c r="F122" s="67"/>
      <c r="G122" s="67"/>
      <c r="H122" s="122"/>
      <c r="I122" s="123"/>
      <c r="O122" s="122"/>
      <c r="P122" s="123"/>
    </row>
    <row r="123" spans="1:16" s="57" customFormat="1" x14ac:dyDescent="0.25">
      <c r="A123" s="67"/>
      <c r="B123" s="67"/>
      <c r="C123" s="67"/>
      <c r="D123" s="67"/>
      <c r="E123" s="67"/>
      <c r="F123" s="67"/>
      <c r="G123" s="67"/>
      <c r="H123" s="122"/>
      <c r="I123" s="123"/>
      <c r="O123" s="122"/>
      <c r="P123" s="123"/>
    </row>
    <row r="124" spans="1:16" s="57" customFormat="1" x14ac:dyDescent="0.25">
      <c r="A124" s="67"/>
      <c r="B124" s="67"/>
      <c r="C124" s="67"/>
      <c r="D124" s="67"/>
      <c r="E124" s="67"/>
      <c r="F124" s="67"/>
      <c r="G124" s="67"/>
      <c r="H124" s="122"/>
      <c r="I124" s="123"/>
      <c r="O124" s="122"/>
      <c r="P124" s="123"/>
    </row>
    <row r="125" spans="1:16" s="57" customFormat="1" x14ac:dyDescent="0.25">
      <c r="A125" s="67"/>
      <c r="B125" s="67"/>
      <c r="C125" s="67"/>
      <c r="D125" s="67"/>
      <c r="E125" s="67"/>
      <c r="F125" s="67"/>
      <c r="G125" s="67"/>
      <c r="H125" s="122"/>
      <c r="I125" s="123"/>
      <c r="O125" s="122"/>
      <c r="P125" s="123"/>
    </row>
    <row r="126" spans="1:16" s="57" customFormat="1" x14ac:dyDescent="0.25">
      <c r="A126" s="67"/>
      <c r="B126" s="67"/>
      <c r="C126" s="67"/>
      <c r="D126" s="67"/>
      <c r="E126" s="67"/>
      <c r="F126" s="67"/>
      <c r="G126" s="67"/>
      <c r="H126" s="122"/>
      <c r="I126" s="123"/>
      <c r="O126" s="122"/>
      <c r="P126" s="123"/>
    </row>
    <row r="127" spans="1:16" s="57" customFormat="1" x14ac:dyDescent="0.25">
      <c r="A127" s="67"/>
      <c r="B127" s="67"/>
      <c r="C127" s="67"/>
      <c r="D127" s="67"/>
      <c r="E127" s="67"/>
      <c r="F127" s="67"/>
      <c r="G127" s="67"/>
      <c r="H127" s="122"/>
      <c r="I127" s="123"/>
      <c r="O127" s="122"/>
      <c r="P127" s="123"/>
    </row>
    <row r="128" spans="1:16" s="57" customFormat="1" x14ac:dyDescent="0.25">
      <c r="A128" s="67"/>
      <c r="B128" s="67"/>
      <c r="C128" s="67"/>
      <c r="D128" s="67"/>
      <c r="E128" s="67"/>
      <c r="F128" s="67"/>
      <c r="G128" s="67"/>
      <c r="H128" s="122"/>
      <c r="I128" s="123"/>
      <c r="O128" s="122"/>
      <c r="P128" s="123"/>
    </row>
    <row r="129" spans="1:16" s="57" customFormat="1" x14ac:dyDescent="0.25">
      <c r="A129" s="67"/>
      <c r="B129" s="67"/>
      <c r="C129" s="67"/>
      <c r="D129" s="67"/>
      <c r="E129" s="67"/>
      <c r="F129" s="67"/>
      <c r="G129" s="67"/>
      <c r="H129" s="122"/>
      <c r="I129" s="123"/>
      <c r="O129" s="122"/>
      <c r="P129" s="123"/>
    </row>
    <row r="130" spans="1:16" s="57" customFormat="1" x14ac:dyDescent="0.25">
      <c r="A130" s="67"/>
      <c r="B130" s="67"/>
      <c r="C130" s="67"/>
      <c r="D130" s="67"/>
      <c r="E130" s="67"/>
      <c r="F130" s="67"/>
      <c r="G130" s="67"/>
      <c r="H130" s="122"/>
      <c r="I130" s="123"/>
      <c r="O130" s="122"/>
      <c r="P130" s="123"/>
    </row>
    <row r="131" spans="1:16" s="57" customFormat="1" x14ac:dyDescent="0.25">
      <c r="A131" s="67"/>
      <c r="B131" s="67"/>
      <c r="C131" s="67"/>
      <c r="D131" s="67"/>
      <c r="E131" s="67"/>
      <c r="F131" s="67"/>
      <c r="G131" s="67"/>
      <c r="H131" s="122"/>
      <c r="I131" s="123"/>
      <c r="O131" s="122"/>
      <c r="P131" s="123"/>
    </row>
    <row r="132" spans="1:16" s="57" customFormat="1" x14ac:dyDescent="0.25">
      <c r="A132" s="67"/>
      <c r="B132" s="67"/>
      <c r="C132" s="67"/>
      <c r="D132" s="67"/>
      <c r="E132" s="67"/>
      <c r="F132" s="67"/>
      <c r="G132" s="67"/>
      <c r="H132" s="122"/>
      <c r="I132" s="123"/>
      <c r="O132" s="122"/>
      <c r="P132" s="123"/>
    </row>
    <row r="133" spans="1:16" s="57" customFormat="1" x14ac:dyDescent="0.25">
      <c r="A133" s="67"/>
      <c r="B133" s="67"/>
      <c r="C133" s="67"/>
      <c r="D133" s="67"/>
      <c r="E133" s="67"/>
      <c r="F133" s="67"/>
      <c r="G133" s="67"/>
      <c r="H133" s="122"/>
      <c r="I133" s="123"/>
      <c r="O133" s="122"/>
      <c r="P133" s="123"/>
    </row>
    <row r="134" spans="1:16" s="57" customFormat="1" x14ac:dyDescent="0.25">
      <c r="A134" s="67"/>
      <c r="B134" s="67"/>
      <c r="C134" s="67"/>
      <c r="D134" s="67"/>
      <c r="E134" s="67"/>
      <c r="F134" s="67"/>
      <c r="G134" s="67"/>
      <c r="H134" s="122"/>
      <c r="I134" s="123"/>
      <c r="O134" s="122"/>
      <c r="P134" s="123"/>
    </row>
    <row r="135" spans="1:16" s="57" customFormat="1" x14ac:dyDescent="0.25">
      <c r="A135" s="67"/>
      <c r="B135" s="67"/>
      <c r="C135" s="67"/>
      <c r="D135" s="67"/>
      <c r="E135" s="67"/>
      <c r="F135" s="67"/>
      <c r="G135" s="67"/>
      <c r="H135" s="122"/>
      <c r="I135" s="123"/>
      <c r="O135" s="122"/>
      <c r="P135" s="123"/>
    </row>
    <row r="136" spans="1:16" s="57" customFormat="1" x14ac:dyDescent="0.25">
      <c r="A136" s="67"/>
      <c r="B136" s="67"/>
      <c r="C136" s="67"/>
      <c r="D136" s="67"/>
      <c r="E136" s="67"/>
      <c r="F136" s="67"/>
      <c r="G136" s="67"/>
      <c r="H136" s="122"/>
      <c r="I136" s="123"/>
      <c r="O136" s="122"/>
      <c r="P136" s="123"/>
    </row>
    <row r="137" spans="1:16" s="57" customFormat="1" x14ac:dyDescent="0.25">
      <c r="A137" s="67"/>
      <c r="B137" s="67"/>
      <c r="C137" s="67"/>
      <c r="D137" s="67"/>
      <c r="E137" s="67"/>
      <c r="F137" s="67"/>
      <c r="G137" s="67"/>
      <c r="H137" s="122"/>
      <c r="I137" s="123"/>
      <c r="O137" s="122"/>
      <c r="P137" s="123"/>
    </row>
  </sheetData>
  <mergeCells count="17">
    <mergeCell ref="A29:E29"/>
    <mergeCell ref="A7:A21"/>
    <mergeCell ref="A28:G28"/>
    <mergeCell ref="L22:M22"/>
    <mergeCell ref="A41:G41"/>
    <mergeCell ref="A1:M1"/>
    <mergeCell ref="A6:G6"/>
    <mergeCell ref="A22:G22"/>
    <mergeCell ref="A23:E23"/>
    <mergeCell ref="H4:I4"/>
    <mergeCell ref="J4:K4"/>
    <mergeCell ref="L4:M4"/>
    <mergeCell ref="H3:M3"/>
    <mergeCell ref="G4:G5"/>
    <mergeCell ref="A4:F5"/>
    <mergeCell ref="A2:L2"/>
    <mergeCell ref="J21:K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25"/>
  <sheetViews>
    <sheetView view="pageBreakPreview" zoomScale="60" zoomScaleNormal="100" workbookViewId="0">
      <selection activeCell="M1" sqref="M1:M1048576"/>
    </sheetView>
  </sheetViews>
  <sheetFormatPr defaultRowHeight="15" x14ac:dyDescent="0.25"/>
  <cols>
    <col min="1" max="1" width="24" customWidth="1"/>
    <col min="2" max="2" width="15.42578125" bestFit="1" customWidth="1"/>
    <col min="3" max="3" width="8.85546875" customWidth="1"/>
    <col min="4" max="4" width="3" bestFit="1" customWidth="1"/>
    <col min="5" max="5" width="7.5703125" bestFit="1" customWidth="1"/>
    <col min="7" max="7" width="17.28515625" customWidth="1"/>
    <col min="8" max="8" width="14.5703125" bestFit="1" customWidth="1"/>
    <col min="9" max="9" width="14.42578125" customWidth="1"/>
    <col min="10" max="10" width="9.140625" customWidth="1"/>
    <col min="11" max="11" width="4.140625" hidden="1" customWidth="1"/>
    <col min="12" max="13" width="9.140625" hidden="1" customWidth="1"/>
    <col min="14" max="14" width="9.140625" customWidth="1"/>
  </cols>
  <sheetData>
    <row r="1" spans="1:17" ht="15" customHeight="1" x14ac:dyDescent="0.25">
      <c r="A1" s="398" t="s">
        <v>187</v>
      </c>
      <c r="B1" s="398"/>
      <c r="C1" s="398"/>
      <c r="D1" s="398"/>
      <c r="E1" s="398"/>
      <c r="F1" s="398"/>
      <c r="G1" s="398"/>
      <c r="H1" s="398"/>
      <c r="I1" s="398"/>
    </row>
    <row r="2" spans="1:17" ht="40.5" customHeight="1" x14ac:dyDescent="0.25">
      <c r="A2" s="398"/>
      <c r="B2" s="398"/>
      <c r="C2" s="398"/>
      <c r="D2" s="398"/>
      <c r="E2" s="398"/>
      <c r="F2" s="398"/>
      <c r="G2" s="398"/>
      <c r="H2" s="398"/>
      <c r="I2" s="398"/>
    </row>
    <row r="3" spans="1:17" ht="15.75" thickBot="1" x14ac:dyDescent="0.3">
      <c r="A3" s="140"/>
      <c r="B3" s="140"/>
      <c r="C3" s="140"/>
      <c r="D3" s="140"/>
      <c r="E3" s="140"/>
      <c r="F3" s="140"/>
      <c r="G3" s="140"/>
      <c r="I3" s="141">
        <f>'КУРС ЕВРО'!C5</f>
        <v>43160</v>
      </c>
    </row>
    <row r="4" spans="1:17" ht="30.75" thickBot="1" x14ac:dyDescent="0.3">
      <c r="A4" s="419" t="s">
        <v>15</v>
      </c>
      <c r="B4" s="411"/>
      <c r="C4" s="411"/>
      <c r="D4" s="411"/>
      <c r="E4" s="411"/>
      <c r="F4" s="411"/>
      <c r="G4" s="255" t="s">
        <v>69</v>
      </c>
      <c r="H4" s="166" t="s">
        <v>137</v>
      </c>
      <c r="I4" s="166" t="s">
        <v>96</v>
      </c>
      <c r="P4" s="431"/>
      <c r="Q4" s="431"/>
    </row>
    <row r="5" spans="1:17" x14ac:dyDescent="0.25">
      <c r="A5" s="420" t="s">
        <v>149</v>
      </c>
      <c r="B5" s="421"/>
      <c r="C5" s="155" t="s">
        <v>33</v>
      </c>
      <c r="D5" s="156"/>
      <c r="E5" s="156"/>
      <c r="F5" s="157"/>
      <c r="G5" s="424" t="s">
        <v>156</v>
      </c>
      <c r="H5" s="158">
        <f>L5*$D$23</f>
        <v>77793.706908069493</v>
      </c>
      <c r="I5" s="158">
        <f>MROUND(M5*$D$23,500)</f>
        <v>97000</v>
      </c>
      <c r="L5" s="266">
        <v>1127.4450276531811</v>
      </c>
      <c r="M5" s="266">
        <v>1409.3062845664763</v>
      </c>
      <c r="P5" s="266"/>
      <c r="Q5" s="266"/>
    </row>
    <row r="6" spans="1:17" x14ac:dyDescent="0.25">
      <c r="A6" s="422"/>
      <c r="B6" s="423"/>
      <c r="C6" s="108" t="s">
        <v>12</v>
      </c>
      <c r="D6" s="67"/>
      <c r="E6" s="67"/>
      <c r="F6" s="67"/>
      <c r="G6" s="425"/>
      <c r="H6" s="427">
        <f t="shared" ref="H6:H10" si="0">L6*$D$23</f>
        <v>82292.26246933642</v>
      </c>
      <c r="I6" s="427">
        <f t="shared" ref="I6:I10" si="1">MROUND(M6*$D$23,500)</f>
        <v>103000</v>
      </c>
      <c r="L6" s="266">
        <v>1192.6414850628466</v>
      </c>
      <c r="M6" s="266">
        <v>1490.8018563285582</v>
      </c>
      <c r="P6" s="266"/>
      <c r="Q6" s="266"/>
    </row>
    <row r="7" spans="1:17" x14ac:dyDescent="0.25">
      <c r="A7" s="422"/>
      <c r="B7" s="423"/>
      <c r="C7" s="136" t="s">
        <v>13</v>
      </c>
      <c r="D7" s="133"/>
      <c r="E7" s="133"/>
      <c r="F7" s="134"/>
      <c r="G7" s="425"/>
      <c r="H7" s="428">
        <f t="shared" si="0"/>
        <v>0</v>
      </c>
      <c r="I7" s="428">
        <f t="shared" si="1"/>
        <v>0</v>
      </c>
      <c r="L7" s="266"/>
      <c r="M7" s="266"/>
      <c r="P7" s="266"/>
      <c r="Q7" s="266"/>
    </row>
    <row r="8" spans="1:17" x14ac:dyDescent="0.25">
      <c r="A8" s="132" t="s">
        <v>34</v>
      </c>
      <c r="B8" s="150" t="s">
        <v>63</v>
      </c>
      <c r="C8" s="108" t="s">
        <v>1</v>
      </c>
      <c r="D8" s="67"/>
      <c r="E8" s="67"/>
      <c r="F8" s="67"/>
      <c r="G8" s="425"/>
      <c r="H8" s="427">
        <f t="shared" si="0"/>
        <v>86790.818030603317</v>
      </c>
      <c r="I8" s="427">
        <f t="shared" si="1"/>
        <v>108500</v>
      </c>
      <c r="L8" s="266">
        <v>1257.8379424725119</v>
      </c>
      <c r="M8" s="266">
        <v>1572.2974280906399</v>
      </c>
      <c r="P8" s="266"/>
      <c r="Q8" s="266"/>
    </row>
    <row r="9" spans="1:17" x14ac:dyDescent="0.25">
      <c r="A9" s="153" t="s">
        <v>35</v>
      </c>
      <c r="B9" s="151" t="s">
        <v>64</v>
      </c>
      <c r="C9" s="108" t="s">
        <v>3</v>
      </c>
      <c r="D9" s="67"/>
      <c r="E9" s="67"/>
      <c r="F9" s="131"/>
      <c r="G9" s="425"/>
      <c r="H9" s="427">
        <f t="shared" si="0"/>
        <v>0</v>
      </c>
      <c r="I9" s="427">
        <f t="shared" si="1"/>
        <v>0</v>
      </c>
      <c r="L9" s="266"/>
      <c r="M9" s="266"/>
      <c r="P9" s="266"/>
      <c r="Q9" s="266"/>
    </row>
    <row r="10" spans="1:17" ht="15.75" thickBot="1" x14ac:dyDescent="0.3">
      <c r="A10" s="154" t="s">
        <v>36</v>
      </c>
      <c r="B10" s="152" t="s">
        <v>65</v>
      </c>
      <c r="C10" s="136" t="s">
        <v>5</v>
      </c>
      <c r="D10" s="133"/>
      <c r="E10" s="133"/>
      <c r="F10" s="134"/>
      <c r="G10" s="426"/>
      <c r="H10" s="429">
        <f t="shared" si="0"/>
        <v>0</v>
      </c>
      <c r="I10" s="429">
        <f t="shared" si="1"/>
        <v>0</v>
      </c>
      <c r="L10" s="266"/>
      <c r="M10" s="266"/>
      <c r="P10" s="266"/>
      <c r="Q10" s="266"/>
    </row>
    <row r="11" spans="1:17" ht="15.75" thickBot="1" x14ac:dyDescent="0.3">
      <c r="A11" s="400"/>
      <c r="B11" s="400"/>
      <c r="C11" s="400"/>
      <c r="D11" s="400"/>
      <c r="E11" s="400"/>
      <c r="F11" s="400"/>
      <c r="G11" s="400"/>
      <c r="H11" s="135"/>
      <c r="I11" s="135"/>
      <c r="L11" s="266"/>
      <c r="M11" s="266"/>
      <c r="P11" s="266"/>
      <c r="Q11" s="266"/>
    </row>
    <row r="12" spans="1:17" ht="15" customHeight="1" x14ac:dyDescent="0.25">
      <c r="A12" s="420" t="s">
        <v>144</v>
      </c>
      <c r="B12" s="421"/>
      <c r="C12" s="99" t="s">
        <v>33</v>
      </c>
      <c r="D12" s="98"/>
      <c r="E12" s="98"/>
      <c r="F12" s="98"/>
      <c r="G12" s="424" t="s">
        <v>156</v>
      </c>
      <c r="H12" s="430">
        <f t="shared" ref="H12:H17" si="2">L12*$D$23</f>
        <v>46123.962434121524</v>
      </c>
      <c r="I12" s="430">
        <f t="shared" ref="I12:I17" si="3">MROUND(M12*$D$23,500)</f>
        <v>57500</v>
      </c>
      <c r="L12" s="266">
        <v>668.46322368292067</v>
      </c>
      <c r="M12" s="266">
        <v>835.57902960365084</v>
      </c>
      <c r="P12" s="266"/>
      <c r="Q12" s="266"/>
    </row>
    <row r="13" spans="1:17" x14ac:dyDescent="0.25">
      <c r="A13" s="422"/>
      <c r="B13" s="423"/>
      <c r="C13" s="108" t="s">
        <v>12</v>
      </c>
      <c r="D13" s="67"/>
      <c r="E13" s="67"/>
      <c r="F13" s="67"/>
      <c r="G13" s="425"/>
      <c r="H13" s="427">
        <f t="shared" si="2"/>
        <v>0</v>
      </c>
      <c r="I13" s="427">
        <f t="shared" si="3"/>
        <v>0</v>
      </c>
      <c r="L13" s="266"/>
      <c r="M13" s="266"/>
      <c r="P13" s="266"/>
      <c r="Q13" s="266"/>
    </row>
    <row r="14" spans="1:17" x14ac:dyDescent="0.25">
      <c r="A14" s="422"/>
      <c r="B14" s="423"/>
      <c r="C14" s="136" t="s">
        <v>13</v>
      </c>
      <c r="D14" s="133"/>
      <c r="E14" s="133"/>
      <c r="F14" s="134"/>
      <c r="G14" s="425"/>
      <c r="H14" s="428">
        <f t="shared" si="2"/>
        <v>0</v>
      </c>
      <c r="I14" s="428">
        <f t="shared" si="3"/>
        <v>0</v>
      </c>
      <c r="L14" s="266"/>
      <c r="M14" s="266"/>
      <c r="P14" s="266"/>
      <c r="Q14" s="266"/>
    </row>
    <row r="15" spans="1:17" x14ac:dyDescent="0.25">
      <c r="A15" s="132" t="s">
        <v>34</v>
      </c>
      <c r="B15" s="150" t="s">
        <v>66</v>
      </c>
      <c r="C15" s="108" t="s">
        <v>1</v>
      </c>
      <c r="D15" s="67"/>
      <c r="E15" s="67"/>
      <c r="F15" s="67"/>
      <c r="G15" s="425"/>
      <c r="H15" s="427">
        <f t="shared" si="2"/>
        <v>55570.929112782069</v>
      </c>
      <c r="I15" s="427">
        <f t="shared" si="3"/>
        <v>69500</v>
      </c>
      <c r="L15" s="266">
        <v>805.37578424321839</v>
      </c>
      <c r="M15" s="266">
        <v>1006.719730304023</v>
      </c>
      <c r="P15" s="266"/>
      <c r="Q15" s="266"/>
    </row>
    <row r="16" spans="1:17" x14ac:dyDescent="0.25">
      <c r="A16" s="153" t="s">
        <v>35</v>
      </c>
      <c r="B16" s="151" t="s">
        <v>67</v>
      </c>
      <c r="C16" s="108" t="s">
        <v>3</v>
      </c>
      <c r="D16" s="67"/>
      <c r="E16" s="67"/>
      <c r="F16" s="131"/>
      <c r="G16" s="425"/>
      <c r="H16" s="427">
        <f t="shared" si="2"/>
        <v>0</v>
      </c>
      <c r="I16" s="427">
        <f t="shared" si="3"/>
        <v>0</v>
      </c>
    </row>
    <row r="17" spans="1:13" ht="15.75" thickBot="1" x14ac:dyDescent="0.3">
      <c r="A17" s="154" t="s">
        <v>36</v>
      </c>
      <c r="B17" s="152" t="s">
        <v>68</v>
      </c>
      <c r="C17" s="136" t="s">
        <v>5</v>
      </c>
      <c r="D17" s="133"/>
      <c r="E17" s="133"/>
      <c r="F17" s="134"/>
      <c r="G17" s="426"/>
      <c r="H17" s="429">
        <f t="shared" si="2"/>
        <v>0</v>
      </c>
      <c r="I17" s="429">
        <f t="shared" si="3"/>
        <v>0</v>
      </c>
    </row>
    <row r="18" spans="1:13" ht="15.75" thickBot="1" x14ac:dyDescent="0.3">
      <c r="A18" s="400"/>
      <c r="B18" s="400"/>
      <c r="C18" s="400"/>
      <c r="D18" s="400"/>
      <c r="E18" s="400"/>
      <c r="F18" s="400"/>
      <c r="G18" s="400"/>
      <c r="H18" s="135"/>
      <c r="I18" s="135"/>
      <c r="J18" s="486"/>
      <c r="K18" s="486"/>
      <c r="L18" s="390"/>
      <c r="M18" s="390"/>
    </row>
    <row r="19" spans="1:13" ht="15.75" thickBot="1" x14ac:dyDescent="0.3">
      <c r="A19" s="228" t="s">
        <v>145</v>
      </c>
      <c r="B19" s="254"/>
      <c r="C19" s="254"/>
      <c r="D19" s="143"/>
      <c r="E19" s="254"/>
      <c r="F19" s="254"/>
      <c r="G19" s="229"/>
      <c r="H19" s="230">
        <f>L19*$D$23</f>
        <v>3919.2000000000003</v>
      </c>
      <c r="I19" s="230">
        <f>MROUND(M19*$D$23,50)</f>
        <v>4900</v>
      </c>
      <c r="L19" s="266">
        <f>M19*0.8</f>
        <v>56.800000000000004</v>
      </c>
      <c r="M19">
        <f>71</f>
        <v>71</v>
      </c>
    </row>
    <row r="20" spans="1:13" x14ac:dyDescent="0.25">
      <c r="A20" s="231"/>
      <c r="B20" s="231"/>
      <c r="C20" s="73"/>
      <c r="D20" s="231"/>
      <c r="E20" s="231"/>
      <c r="F20" s="231"/>
      <c r="G20" s="231"/>
      <c r="H20" s="232"/>
    </row>
    <row r="21" spans="1:13" x14ac:dyDescent="0.25">
      <c r="A21" s="67"/>
      <c r="B21" s="67"/>
      <c r="C21" s="67"/>
      <c r="D21" s="67"/>
      <c r="E21" s="67"/>
      <c r="F21" s="67"/>
      <c r="G21" s="67"/>
      <c r="H21" s="123"/>
    </row>
    <row r="22" spans="1:13" x14ac:dyDescent="0.25">
      <c r="A22" s="67" t="s">
        <v>51</v>
      </c>
      <c r="B22" s="67"/>
      <c r="C22" s="67"/>
      <c r="D22" s="67"/>
      <c r="E22" s="67"/>
      <c r="F22" s="67"/>
      <c r="G22" s="67"/>
      <c r="H22" s="123"/>
    </row>
    <row r="23" spans="1:13" x14ac:dyDescent="0.25">
      <c r="A23" s="67" t="s">
        <v>47</v>
      </c>
      <c r="B23" s="67"/>
      <c r="C23" s="67"/>
      <c r="D23" s="67">
        <f>'Ворота EP2018'!D49</f>
        <v>69</v>
      </c>
      <c r="E23" s="67" t="s">
        <v>46</v>
      </c>
      <c r="F23" s="57"/>
      <c r="G23" s="57"/>
      <c r="H23" s="123"/>
    </row>
    <row r="24" spans="1:13" x14ac:dyDescent="0.25">
      <c r="A24" s="67" t="s">
        <v>48</v>
      </c>
      <c r="B24" s="67"/>
      <c r="C24" s="67"/>
      <c r="D24" s="67"/>
      <c r="E24" s="67"/>
      <c r="F24" s="67"/>
      <c r="G24" s="67"/>
      <c r="H24" s="123"/>
    </row>
    <row r="25" spans="1:13" x14ac:dyDescent="0.25">
      <c r="A25" s="67"/>
      <c r="B25" s="67"/>
      <c r="C25" s="67"/>
      <c r="D25" s="67"/>
      <c r="E25" s="67"/>
      <c r="F25" s="67"/>
      <c r="G25" s="67"/>
      <c r="H25" s="123"/>
    </row>
  </sheetData>
  <mergeCells count="17">
    <mergeCell ref="P4:Q4"/>
    <mergeCell ref="I6:I7"/>
    <mergeCell ref="I8:I10"/>
    <mergeCell ref="I12:I14"/>
    <mergeCell ref="I15:I17"/>
    <mergeCell ref="A1:I2"/>
    <mergeCell ref="A11:G11"/>
    <mergeCell ref="A12:B14"/>
    <mergeCell ref="G12:G17"/>
    <mergeCell ref="H12:H14"/>
    <mergeCell ref="H15:H17"/>
    <mergeCell ref="A18:G18"/>
    <mergeCell ref="A4:F4"/>
    <mergeCell ref="A5:B7"/>
    <mergeCell ref="G5:G10"/>
    <mergeCell ref="H6:H7"/>
    <mergeCell ref="H8:H10"/>
  </mergeCells>
  <pageMargins left="0.7" right="0.7" top="0.75" bottom="0.75" header="0.3" footer="0.3"/>
  <pageSetup paperSize="9" scale="76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52"/>
  <sheetViews>
    <sheetView view="pageBreakPreview" zoomScaleNormal="100" zoomScaleSheetLayoutView="100" workbookViewId="0">
      <selection activeCell="J1" sqref="J1:M1048576"/>
    </sheetView>
  </sheetViews>
  <sheetFormatPr defaultRowHeight="15" x14ac:dyDescent="0.25"/>
  <cols>
    <col min="1" max="1" width="9.140625" style="165"/>
    <col min="3" max="3" width="29" customWidth="1"/>
    <col min="4" max="4" width="5.85546875" customWidth="1"/>
    <col min="6" max="6" width="13.28515625" customWidth="1"/>
    <col min="7" max="7" width="10.7109375" customWidth="1"/>
    <col min="8" max="8" width="10.5703125" bestFit="1" customWidth="1"/>
    <col min="10" max="11" width="9.140625" hidden="1" customWidth="1"/>
    <col min="12" max="12" width="10.140625" hidden="1" customWidth="1"/>
    <col min="13" max="13" width="0" hidden="1" customWidth="1"/>
  </cols>
  <sheetData>
    <row r="1" spans="1:23" s="58" customFormat="1" ht="20.25" x14ac:dyDescent="0.3">
      <c r="A1" s="398" t="s">
        <v>159</v>
      </c>
      <c r="B1" s="398"/>
      <c r="C1" s="398"/>
      <c r="D1" s="398"/>
      <c r="E1" s="398"/>
      <c r="F1" s="398"/>
      <c r="G1" s="398"/>
      <c r="H1" s="398"/>
      <c r="I1" s="127"/>
      <c r="J1" s="12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54" customFormat="1" ht="20.25" x14ac:dyDescent="0.3">
      <c r="A2" s="398"/>
      <c r="B2" s="398"/>
      <c r="C2" s="398"/>
      <c r="D2" s="398"/>
      <c r="E2" s="398"/>
      <c r="F2" s="398"/>
      <c r="G2" s="398"/>
      <c r="H2" s="398"/>
      <c r="I2" s="128"/>
      <c r="J2" s="128"/>
      <c r="K2" s="57"/>
      <c r="L2" s="57"/>
    </row>
    <row r="3" spans="1:23" s="54" customFormat="1" ht="21" thickBot="1" x14ac:dyDescent="0.3">
      <c r="A3" s="140"/>
      <c r="B3" s="140"/>
      <c r="C3" s="140"/>
      <c r="E3" s="137" t="s">
        <v>55</v>
      </c>
      <c r="F3" s="141">
        <f>'Двери EP2018(стандарт)'!I3</f>
        <v>43160</v>
      </c>
      <c r="G3" s="233" t="s">
        <v>122</v>
      </c>
      <c r="H3" s="141">
        <v>43465</v>
      </c>
      <c r="I3" s="129"/>
      <c r="J3" s="129"/>
      <c r="K3" s="57"/>
      <c r="L3" s="57"/>
    </row>
    <row r="4" spans="1:23" s="66" customFormat="1" ht="50.25" customHeight="1" thickBot="1" x14ac:dyDescent="0.3">
      <c r="A4" s="419" t="s">
        <v>133</v>
      </c>
      <c r="B4" s="411"/>
      <c r="C4" s="411"/>
      <c r="D4" s="411"/>
      <c r="E4" s="411"/>
      <c r="F4" s="411"/>
      <c r="G4" s="441" t="s">
        <v>146</v>
      </c>
      <c r="H4" s="408"/>
      <c r="I4" s="61"/>
      <c r="J4" s="61"/>
      <c r="K4" s="57"/>
      <c r="L4" s="57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s="66" customFormat="1" ht="20.25" customHeight="1" thickBot="1" x14ac:dyDescent="0.3">
      <c r="A5" s="440"/>
      <c r="B5" s="412"/>
      <c r="C5" s="412"/>
      <c r="D5" s="412"/>
      <c r="E5" s="412"/>
      <c r="F5" s="412"/>
      <c r="G5" s="130" t="s">
        <v>45</v>
      </c>
      <c r="H5" s="60" t="s">
        <v>44</v>
      </c>
      <c r="I5" s="61"/>
      <c r="J5" s="61"/>
      <c r="K5" s="59" t="s">
        <v>45</v>
      </c>
      <c r="L5" s="60" t="s">
        <v>44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15.75" customHeight="1" x14ac:dyDescent="0.25">
      <c r="A6" s="207" t="s">
        <v>168</v>
      </c>
      <c r="B6" s="187"/>
      <c r="C6" s="188"/>
      <c r="D6" s="189"/>
      <c r="E6" s="186"/>
      <c r="F6" s="186"/>
      <c r="G6" s="186"/>
      <c r="H6" s="208"/>
      <c r="K6" s="207"/>
      <c r="L6" s="208"/>
    </row>
    <row r="7" spans="1:23" x14ac:dyDescent="0.25">
      <c r="A7" s="209" t="s">
        <v>111</v>
      </c>
      <c r="B7" s="194"/>
      <c r="C7" s="1"/>
      <c r="D7" s="1"/>
      <c r="E7" s="1"/>
      <c r="F7" s="198"/>
      <c r="G7" s="442">
        <f>K7*'КУРС ЕВРО'!$C$2</f>
        <v>76908.868129465409</v>
      </c>
      <c r="H7" s="445">
        <f>MROUND(L7*'КУРС ЕВРО'!$C$2,500)</f>
        <v>96000</v>
      </c>
      <c r="K7" s="377">
        <v>1114.6212772386291</v>
      </c>
      <c r="L7" s="378">
        <v>1393.2765965482863</v>
      </c>
    </row>
    <row r="8" spans="1:23" x14ac:dyDescent="0.25">
      <c r="A8" s="209" t="s">
        <v>112</v>
      </c>
      <c r="B8" s="195"/>
      <c r="C8" s="1"/>
      <c r="D8" s="1"/>
      <c r="E8" s="1"/>
      <c r="F8" s="198"/>
      <c r="G8" s="443"/>
      <c r="H8" s="446"/>
      <c r="K8" s="379"/>
      <c r="L8" s="380"/>
    </row>
    <row r="9" spans="1:23" x14ac:dyDescent="0.25">
      <c r="A9" s="210" t="s">
        <v>113</v>
      </c>
      <c r="B9" s="196"/>
      <c r="C9" s="197"/>
      <c r="D9" s="197"/>
      <c r="E9" s="197"/>
      <c r="F9" s="199"/>
      <c r="G9" s="444"/>
      <c r="H9" s="447"/>
      <c r="K9" s="381"/>
      <c r="L9" s="382"/>
    </row>
    <row r="10" spans="1:23" x14ac:dyDescent="0.25">
      <c r="A10" s="211" t="s">
        <v>1</v>
      </c>
      <c r="B10" s="194"/>
      <c r="C10" s="1"/>
      <c r="D10" s="1"/>
      <c r="E10" s="1"/>
      <c r="F10" s="1"/>
      <c r="G10" s="455">
        <f>K10*'КУРС ЕВРО'!$C$2</f>
        <v>95591.352588523645</v>
      </c>
      <c r="H10" s="456">
        <f>MROUND(L10*'КУРС ЕВРО'!$C$2,500)</f>
        <v>119500</v>
      </c>
      <c r="K10" s="377">
        <v>1385.3819215728065</v>
      </c>
      <c r="L10" s="378">
        <v>1731.7274019660081</v>
      </c>
    </row>
    <row r="11" spans="1:23" x14ac:dyDescent="0.25">
      <c r="A11" s="209" t="s">
        <v>3</v>
      </c>
      <c r="B11" s="195"/>
      <c r="C11" s="1"/>
      <c r="D11" s="1"/>
      <c r="E11" s="1"/>
      <c r="F11" s="1"/>
      <c r="G11" s="455"/>
      <c r="H11" s="456"/>
      <c r="K11" s="379"/>
      <c r="L11" s="380"/>
    </row>
    <row r="12" spans="1:23" x14ac:dyDescent="0.25">
      <c r="A12" s="209" t="s">
        <v>5</v>
      </c>
      <c r="B12" s="195"/>
      <c r="C12" s="1"/>
      <c r="D12" s="1"/>
      <c r="E12" s="1"/>
      <c r="F12" s="1"/>
      <c r="G12" s="455"/>
      <c r="H12" s="456"/>
      <c r="K12" s="381"/>
      <c r="L12" s="382"/>
    </row>
    <row r="13" spans="1:23" x14ac:dyDescent="0.25">
      <c r="A13" s="376" t="s">
        <v>167</v>
      </c>
      <c r="B13" s="195"/>
      <c r="C13" s="1"/>
      <c r="D13" s="1"/>
      <c r="E13" s="1"/>
      <c r="F13" s="1"/>
      <c r="G13" s="455"/>
      <c r="H13" s="456"/>
      <c r="K13" s="374"/>
      <c r="L13" s="375"/>
    </row>
    <row r="14" spans="1:23" ht="15.75" customHeight="1" x14ac:dyDescent="0.25">
      <c r="A14" s="207" t="s">
        <v>169</v>
      </c>
      <c r="B14" s="187"/>
      <c r="C14" s="188"/>
      <c r="D14" s="189"/>
      <c r="E14" s="186"/>
      <c r="F14" s="186"/>
      <c r="G14" s="274"/>
      <c r="H14" s="275"/>
      <c r="K14" s="207"/>
      <c r="L14" s="208"/>
    </row>
    <row r="15" spans="1:23" x14ac:dyDescent="0.25">
      <c r="A15" s="209" t="s">
        <v>111</v>
      </c>
      <c r="B15" s="194"/>
      <c r="C15" s="1"/>
      <c r="D15" s="1"/>
      <c r="E15" s="1"/>
      <c r="F15" s="198"/>
      <c r="G15" s="448">
        <f>K15*'КУРС ЕВРО'!$C$2</f>
        <v>86250.110358994527</v>
      </c>
      <c r="H15" s="445">
        <f>MROUND(L15*'КУРС ЕВРО'!$C$2,500)</f>
        <v>108000</v>
      </c>
      <c r="K15" s="377">
        <v>1250.0015994057178</v>
      </c>
      <c r="L15" s="378">
        <v>1562.5019992571472</v>
      </c>
    </row>
    <row r="16" spans="1:23" x14ac:dyDescent="0.25">
      <c r="A16" s="209" t="s">
        <v>112</v>
      </c>
      <c r="B16" s="195"/>
      <c r="C16" s="1"/>
      <c r="D16" s="1"/>
      <c r="E16" s="1"/>
      <c r="F16" s="198"/>
      <c r="G16" s="449"/>
      <c r="H16" s="446"/>
      <c r="K16" s="379"/>
      <c r="L16" s="380"/>
    </row>
    <row r="17" spans="1:13" x14ac:dyDescent="0.25">
      <c r="A17" s="210" t="s">
        <v>113</v>
      </c>
      <c r="B17" s="196"/>
      <c r="C17" s="197"/>
      <c r="D17" s="197"/>
      <c r="E17" s="197"/>
      <c r="F17" s="199"/>
      <c r="G17" s="450"/>
      <c r="H17" s="447"/>
      <c r="K17" s="381"/>
      <c r="L17" s="382"/>
    </row>
    <row r="18" spans="1:13" x14ac:dyDescent="0.25">
      <c r="A18" s="211" t="s">
        <v>1</v>
      </c>
      <c r="B18" s="194"/>
      <c r="C18" s="1"/>
      <c r="D18" s="1"/>
      <c r="E18" s="1"/>
      <c r="F18" s="198"/>
      <c r="G18" s="455">
        <f>K18*'КУРС ЕВРО'!$C$2</f>
        <v>104949</v>
      </c>
      <c r="H18" s="456">
        <f>MROUND(L18*'КУРС ЕВРО'!$C$2,500)</f>
        <v>131000</v>
      </c>
      <c r="J18" s="485"/>
      <c r="K18" s="486">
        <v>1521</v>
      </c>
      <c r="L18" s="383">
        <v>1900.952804674869</v>
      </c>
      <c r="M18" s="390"/>
    </row>
    <row r="19" spans="1:13" x14ac:dyDescent="0.25">
      <c r="A19" s="209" t="s">
        <v>3</v>
      </c>
      <c r="B19" s="195"/>
      <c r="C19" s="1"/>
      <c r="D19" s="1"/>
      <c r="E19" s="1"/>
      <c r="F19" s="198"/>
      <c r="G19" s="455"/>
      <c r="H19" s="456"/>
      <c r="K19" s="379"/>
      <c r="L19" s="384"/>
    </row>
    <row r="20" spans="1:13" x14ac:dyDescent="0.25">
      <c r="A20" s="209" t="s">
        <v>5</v>
      </c>
      <c r="B20" s="195"/>
      <c r="C20" s="1"/>
      <c r="D20" s="1"/>
      <c r="E20" s="1"/>
      <c r="F20" s="198"/>
      <c r="G20" s="455"/>
      <c r="H20" s="456"/>
      <c r="K20" s="381"/>
      <c r="L20" s="385"/>
    </row>
    <row r="21" spans="1:13" x14ac:dyDescent="0.25">
      <c r="A21" s="376" t="s">
        <v>167</v>
      </c>
      <c r="B21" s="195"/>
      <c r="C21" s="1"/>
      <c r="D21" s="1"/>
      <c r="E21" s="1"/>
      <c r="F21" s="1"/>
      <c r="G21" s="455"/>
      <c r="H21" s="456"/>
      <c r="K21" s="374"/>
      <c r="L21" s="375"/>
    </row>
    <row r="22" spans="1:13" ht="15.75" x14ac:dyDescent="0.25">
      <c r="A22" s="207" t="s">
        <v>100</v>
      </c>
      <c r="B22" s="187"/>
      <c r="C22" s="188"/>
      <c r="D22" s="189"/>
      <c r="E22" s="186"/>
      <c r="F22" s="186"/>
      <c r="G22" s="274"/>
      <c r="H22" s="275"/>
      <c r="K22" s="207"/>
      <c r="L22" s="208"/>
    </row>
    <row r="23" spans="1:13" x14ac:dyDescent="0.25">
      <c r="A23" s="212" t="s">
        <v>101</v>
      </c>
      <c r="B23" s="200"/>
      <c r="C23" s="201"/>
      <c r="D23" s="201"/>
      <c r="E23" s="201"/>
      <c r="F23" s="202"/>
      <c r="G23" s="276">
        <f>K23*'КУРС ЕВРО'!$C$2</f>
        <v>25931.856</v>
      </c>
      <c r="H23" s="277">
        <f>MROUND(L23*'КУРС ЕВРО'!$C$2,500)</f>
        <v>32500</v>
      </c>
      <c r="K23" s="272">
        <f>L23*0.8</f>
        <v>375.82400000000001</v>
      </c>
      <c r="L23" s="213">
        <f>566*0.83</f>
        <v>469.78</v>
      </c>
    </row>
    <row r="24" spans="1:13" x14ac:dyDescent="0.25">
      <c r="A24" s="214" t="s">
        <v>102</v>
      </c>
      <c r="B24" s="203"/>
      <c r="C24" s="204"/>
      <c r="D24" s="204"/>
      <c r="E24" s="204"/>
      <c r="F24" s="205"/>
      <c r="G24" s="276">
        <f>K24*'КУРС ЕВРО'!$C$2</f>
        <v>33583.127999999997</v>
      </c>
      <c r="H24" s="277">
        <f>MROUND(L24*'КУРС ЕВРО'!$C$2,500)</f>
        <v>42000</v>
      </c>
      <c r="K24" s="272">
        <f>L24*0.8</f>
        <v>486.71199999999999</v>
      </c>
      <c r="L24" s="213">
        <f>733*0.83</f>
        <v>608.39</v>
      </c>
    </row>
    <row r="25" spans="1:13" ht="15.75" x14ac:dyDescent="0.25">
      <c r="A25" s="207" t="s">
        <v>170</v>
      </c>
      <c r="B25" s="187"/>
      <c r="C25" s="188"/>
      <c r="D25" s="189"/>
      <c r="E25" s="186"/>
      <c r="F25" s="186"/>
      <c r="G25" s="274"/>
      <c r="H25" s="275"/>
      <c r="K25" s="207"/>
      <c r="L25" s="208"/>
    </row>
    <row r="26" spans="1:13" x14ac:dyDescent="0.25">
      <c r="A26" s="215" t="s">
        <v>171</v>
      </c>
      <c r="B26" s="206"/>
      <c r="C26" s="197"/>
      <c r="D26" s="197"/>
      <c r="E26" s="197"/>
      <c r="F26" s="199"/>
      <c r="G26" s="276">
        <f>K26*'КУРС ЕВРО'!$C$2</f>
        <v>2519.88</v>
      </c>
      <c r="H26" s="277">
        <f>MROUND(L26*'КУРС ЕВРО'!$C$2,50)</f>
        <v>3150</v>
      </c>
      <c r="K26" s="272">
        <f>L26*0.8</f>
        <v>36.520000000000003</v>
      </c>
      <c r="L26" s="213">
        <f>55*0.83</f>
        <v>45.65</v>
      </c>
    </row>
    <row r="27" spans="1:13" ht="15.75" x14ac:dyDescent="0.25">
      <c r="A27" s="207" t="s">
        <v>103</v>
      </c>
      <c r="B27" s="187"/>
      <c r="C27" s="188"/>
      <c r="D27" s="189"/>
      <c r="E27" s="186"/>
      <c r="F27" s="186"/>
      <c r="G27" s="274"/>
      <c r="H27" s="275"/>
      <c r="L27" s="386"/>
    </row>
    <row r="28" spans="1:13" x14ac:dyDescent="0.25">
      <c r="A28" s="215" t="s">
        <v>173</v>
      </c>
      <c r="B28" s="206"/>
      <c r="C28" s="197"/>
      <c r="D28" s="197"/>
      <c r="E28" s="197"/>
      <c r="F28" s="199"/>
      <c r="G28" s="276">
        <f>K28*'КУРС ЕВРО'!$C$2</f>
        <v>6780.7679999999991</v>
      </c>
      <c r="H28" s="277">
        <f>MROUND(L28*'КУРС ЕВРО'!$C$2,50)</f>
        <v>8500</v>
      </c>
      <c r="K28" s="272">
        <f>L28*0.8</f>
        <v>98.271999999999991</v>
      </c>
      <c r="L28" s="213">
        <f>148*0.83</f>
        <v>122.83999999999999</v>
      </c>
    </row>
    <row r="29" spans="1:13" ht="15.75" x14ac:dyDescent="0.25">
      <c r="A29" s="216" t="s">
        <v>104</v>
      </c>
      <c r="B29" s="191"/>
      <c r="C29" s="192"/>
      <c r="D29" s="193"/>
      <c r="E29" s="190"/>
      <c r="F29" s="190"/>
      <c r="G29" s="274"/>
      <c r="H29" s="275"/>
      <c r="K29" s="207"/>
      <c r="L29" s="208"/>
    </row>
    <row r="30" spans="1:13" x14ac:dyDescent="0.25">
      <c r="A30" s="212" t="s">
        <v>105</v>
      </c>
      <c r="B30" s="200"/>
      <c r="C30" s="201"/>
      <c r="D30" s="201"/>
      <c r="E30" s="201"/>
      <c r="F30" s="202"/>
      <c r="G30" s="276">
        <f>K30*'КУРС ЕВРО'!$C$2</f>
        <v>4719.0479999999998</v>
      </c>
      <c r="H30" s="277">
        <f>MROUND(L30*'КУРС ЕВРО'!$C$2,50)</f>
        <v>5900</v>
      </c>
      <c r="K30" s="272">
        <f>L30*0.8</f>
        <v>68.391999999999996</v>
      </c>
      <c r="L30" s="213">
        <f>103*0.83</f>
        <v>85.49</v>
      </c>
    </row>
    <row r="31" spans="1:13" x14ac:dyDescent="0.25">
      <c r="A31" s="214" t="s">
        <v>106</v>
      </c>
      <c r="B31" s="203"/>
      <c r="C31" s="204"/>
      <c r="D31" s="204"/>
      <c r="E31" s="204"/>
      <c r="F31" s="205"/>
      <c r="G31" s="276">
        <f>K31*'КУРС ЕВРО'!$C$2</f>
        <v>2244.9839999999995</v>
      </c>
      <c r="H31" s="277">
        <f>MROUND(L31*'КУРС ЕВРО'!$C$2,50)</f>
        <v>2800</v>
      </c>
      <c r="K31" s="272">
        <f>L31*0.8</f>
        <v>32.535999999999994</v>
      </c>
      <c r="L31" s="213">
        <f>49*0.83</f>
        <v>40.669999999999995</v>
      </c>
    </row>
    <row r="32" spans="1:13" ht="15.75" x14ac:dyDescent="0.25">
      <c r="A32" s="207" t="s">
        <v>114</v>
      </c>
      <c r="B32" s="187"/>
      <c r="C32" s="188"/>
      <c r="D32" s="189"/>
      <c r="E32" s="186"/>
      <c r="F32" s="186"/>
      <c r="G32" s="274"/>
      <c r="H32" s="275"/>
      <c r="K32" s="207"/>
      <c r="L32" s="208"/>
    </row>
    <row r="33" spans="1:12" ht="15.75" x14ac:dyDescent="0.25">
      <c r="A33" s="207" t="s">
        <v>107</v>
      </c>
      <c r="B33" s="187"/>
      <c r="C33" s="188"/>
      <c r="D33" s="189"/>
      <c r="E33" s="186"/>
      <c r="F33" s="186"/>
      <c r="G33" s="274"/>
      <c r="H33" s="275"/>
      <c r="K33" s="207"/>
      <c r="L33" s="208"/>
    </row>
    <row r="34" spans="1:12" x14ac:dyDescent="0.25">
      <c r="A34" s="212" t="s">
        <v>108</v>
      </c>
      <c r="B34" s="200"/>
      <c r="C34" s="201"/>
      <c r="D34" s="201"/>
      <c r="E34" s="451" t="s">
        <v>140</v>
      </c>
      <c r="F34" s="452"/>
      <c r="G34" s="276">
        <f>K34*'КУРС ЕВРО'!$C$2</f>
        <v>38302.175999999999</v>
      </c>
      <c r="H34" s="277">
        <f>MROUND(L34*'КУРС ЕВРО'!$C$2,500)</f>
        <v>48000</v>
      </c>
      <c r="K34" s="272">
        <f>L34*0.8</f>
        <v>555.10400000000004</v>
      </c>
      <c r="L34" s="213">
        <f>836*0.83</f>
        <v>693.88</v>
      </c>
    </row>
    <row r="35" spans="1:12" x14ac:dyDescent="0.25">
      <c r="A35" s="214" t="s">
        <v>109</v>
      </c>
      <c r="B35" s="203"/>
      <c r="C35" s="204"/>
      <c r="D35" s="204"/>
      <c r="E35" s="453"/>
      <c r="F35" s="454"/>
      <c r="G35" s="276">
        <f>K35*'КУРС ЕВРО'!$C$2</f>
        <v>44762.232000000004</v>
      </c>
      <c r="H35" s="277">
        <f>MROUND(L35*'КУРС ЕВРО'!$C$2,500)</f>
        <v>56000</v>
      </c>
      <c r="K35" s="272">
        <f>L35*0.8</f>
        <v>648.72800000000007</v>
      </c>
      <c r="L35" s="213">
        <f>977*0.83</f>
        <v>810.91</v>
      </c>
    </row>
    <row r="36" spans="1:12" ht="15.75" x14ac:dyDescent="0.25">
      <c r="A36" s="207" t="s">
        <v>110</v>
      </c>
      <c r="B36" s="187"/>
      <c r="C36" s="188"/>
      <c r="D36" s="189"/>
      <c r="E36" s="186"/>
      <c r="F36" s="186"/>
      <c r="G36" s="274"/>
      <c r="H36" s="275"/>
      <c r="K36" s="207"/>
      <c r="L36" s="208"/>
    </row>
    <row r="37" spans="1:12" x14ac:dyDescent="0.25">
      <c r="A37" s="217" t="s">
        <v>108</v>
      </c>
      <c r="B37" s="201"/>
      <c r="C37" s="201"/>
      <c r="D37" s="201"/>
      <c r="E37" s="432" t="s">
        <v>142</v>
      </c>
      <c r="F37" s="433"/>
      <c r="G37" s="276">
        <f>K37*'КУРС ЕВРО'!$C$2</f>
        <v>45678.552000000003</v>
      </c>
      <c r="H37" s="277">
        <f>MROUND(L37*'КУРС ЕВРО'!$C$2,500)</f>
        <v>57000</v>
      </c>
      <c r="K37" s="272">
        <f>L37*0.8</f>
        <v>662.00800000000004</v>
      </c>
      <c r="L37" s="213">
        <f>997*0.83</f>
        <v>827.51</v>
      </c>
    </row>
    <row r="38" spans="1:12" x14ac:dyDescent="0.25">
      <c r="A38" s="218" t="s">
        <v>109</v>
      </c>
      <c r="B38" s="204"/>
      <c r="C38" s="204"/>
      <c r="D38" s="204"/>
      <c r="E38" s="434"/>
      <c r="F38" s="435"/>
      <c r="G38" s="276">
        <f>K38*'КУРС ЕВРО'!$C$2</f>
        <v>52138.608000000007</v>
      </c>
      <c r="H38" s="277">
        <f>MROUND(L38*'КУРС ЕВРО'!$C$2,500)</f>
        <v>65000</v>
      </c>
      <c r="K38" s="272">
        <f>L38*0.8</f>
        <v>755.63200000000006</v>
      </c>
      <c r="L38" s="213">
        <f>1138*0.83</f>
        <v>944.54</v>
      </c>
    </row>
    <row r="39" spans="1:12" x14ac:dyDescent="0.25">
      <c r="A39" s="219" t="s">
        <v>108</v>
      </c>
      <c r="B39" s="197"/>
      <c r="C39" s="197"/>
      <c r="D39" s="197"/>
      <c r="E39" s="436" t="s">
        <v>141</v>
      </c>
      <c r="F39" s="437"/>
      <c r="G39" s="276">
        <f>K39*'КУРС ЕВРО'!$C$2</f>
        <v>52963.295999999995</v>
      </c>
      <c r="H39" s="277">
        <f>MROUND(L39*'КУРС ЕВРО'!$C$2,500)</f>
        <v>66000</v>
      </c>
      <c r="K39" s="272">
        <f>L39*0.8</f>
        <v>767.58399999999995</v>
      </c>
      <c r="L39" s="213">
        <f>1156*0.83</f>
        <v>959.4799999999999</v>
      </c>
    </row>
    <row r="40" spans="1:12" ht="15.75" thickBot="1" x14ac:dyDescent="0.3">
      <c r="A40" s="220" t="s">
        <v>109</v>
      </c>
      <c r="B40" s="221"/>
      <c r="C40" s="173"/>
      <c r="D40" s="173"/>
      <c r="E40" s="438"/>
      <c r="F40" s="439"/>
      <c r="G40" s="278">
        <f>K40*'КУРС ЕВРО'!$C$2</f>
        <v>59423.352000000006</v>
      </c>
      <c r="H40" s="279">
        <f>MROUND(L40*'КУРС ЕВРО'!$C$2,500)</f>
        <v>74500</v>
      </c>
      <c r="K40" s="273">
        <f>L40*0.8</f>
        <v>861.20800000000008</v>
      </c>
      <c r="L40" s="222">
        <f>1297*0.83</f>
        <v>1076.51</v>
      </c>
    </row>
    <row r="41" spans="1:12" ht="15.75" x14ac:dyDescent="0.25">
      <c r="A41" s="207" t="s">
        <v>172</v>
      </c>
      <c r="B41" s="187"/>
      <c r="C41" s="188"/>
      <c r="D41" s="189"/>
      <c r="E41" s="186"/>
      <c r="F41" s="186"/>
      <c r="G41" s="274"/>
      <c r="H41" s="275"/>
      <c r="K41" s="207"/>
      <c r="L41" s="208"/>
    </row>
    <row r="42" spans="1:12" x14ac:dyDescent="0.25">
      <c r="A42" s="212" t="s">
        <v>108</v>
      </c>
      <c r="B42" s="200"/>
      <c r="C42" s="201"/>
      <c r="D42" s="201"/>
      <c r="E42" s="432" t="s">
        <v>174</v>
      </c>
      <c r="F42" s="433"/>
      <c r="G42" s="276">
        <f>K42*'КУРС ЕВРО'!$C$2</f>
        <v>30742.536</v>
      </c>
      <c r="H42" s="277">
        <f>MROUND(L42*'КУРС ЕВРО'!$C$2,500)</f>
        <v>38500</v>
      </c>
      <c r="K42" s="272">
        <f t="shared" ref="K42:K47" si="0">L42*0.8</f>
        <v>445.54399999999998</v>
      </c>
      <c r="L42" s="213">
        <f>671*0.83</f>
        <v>556.92999999999995</v>
      </c>
    </row>
    <row r="43" spans="1:12" x14ac:dyDescent="0.25">
      <c r="A43" s="214" t="s">
        <v>109</v>
      </c>
      <c r="B43" s="203"/>
      <c r="C43" s="204"/>
      <c r="D43" s="204"/>
      <c r="E43" s="434"/>
      <c r="F43" s="435"/>
      <c r="G43" s="276">
        <f>K43*'КУРС ЕВРО'!$C$2</f>
        <v>37202.591999999997</v>
      </c>
      <c r="H43" s="277">
        <f>MROUND(L43*'КУРС ЕВРО'!$C$2,500)</f>
        <v>46500</v>
      </c>
      <c r="K43" s="272">
        <f t="shared" si="0"/>
        <v>539.16800000000001</v>
      </c>
      <c r="L43" s="213">
        <f>812*0.83</f>
        <v>673.95999999999992</v>
      </c>
    </row>
    <row r="44" spans="1:12" x14ac:dyDescent="0.25">
      <c r="A44" s="217" t="s">
        <v>108</v>
      </c>
      <c r="B44" s="201"/>
      <c r="C44" s="201"/>
      <c r="D44" s="201"/>
      <c r="E44" s="432" t="s">
        <v>175</v>
      </c>
      <c r="F44" s="433"/>
      <c r="G44" s="276">
        <f>K44*'КУРС ЕВРО'!$C$2</f>
        <v>37065.143999999993</v>
      </c>
      <c r="H44" s="277">
        <f>MROUND(L44*'КУРС ЕВРО'!$C$2,500)</f>
        <v>46500</v>
      </c>
      <c r="K44" s="272">
        <f t="shared" si="0"/>
        <v>537.17599999999993</v>
      </c>
      <c r="L44" s="213">
        <f>809*0.83</f>
        <v>671.46999999999991</v>
      </c>
    </row>
    <row r="45" spans="1:12" x14ac:dyDescent="0.25">
      <c r="A45" s="218" t="s">
        <v>109</v>
      </c>
      <c r="B45" s="204"/>
      <c r="C45" s="204"/>
      <c r="D45" s="204"/>
      <c r="E45" s="434"/>
      <c r="F45" s="435"/>
      <c r="G45" s="276">
        <f>K45*'КУРС ЕВРО'!$C$2</f>
        <v>43525.200000000004</v>
      </c>
      <c r="H45" s="277">
        <f>MROUND(L45*'КУРС ЕВРО'!$C$2,500)</f>
        <v>54500</v>
      </c>
      <c r="K45" s="272">
        <f t="shared" si="0"/>
        <v>630.80000000000007</v>
      </c>
      <c r="L45" s="213">
        <f>950*0.83</f>
        <v>788.5</v>
      </c>
    </row>
    <row r="46" spans="1:12" x14ac:dyDescent="0.25">
      <c r="A46" s="219" t="s">
        <v>108</v>
      </c>
      <c r="B46" s="197"/>
      <c r="C46" s="197"/>
      <c r="D46" s="197"/>
      <c r="E46" s="436" t="s">
        <v>176</v>
      </c>
      <c r="F46" s="437"/>
      <c r="G46" s="276">
        <f>K46*'КУРС ЕВРО'!$C$2</f>
        <v>45632.736000000004</v>
      </c>
      <c r="H46" s="277">
        <f>MROUND(L46*'КУРС ЕВРО'!$C$2,500)</f>
        <v>57000</v>
      </c>
      <c r="K46" s="272">
        <f t="shared" si="0"/>
        <v>661.34400000000005</v>
      </c>
      <c r="L46" s="213">
        <f>996*0.83</f>
        <v>826.68</v>
      </c>
    </row>
    <row r="47" spans="1:12" ht="15.75" thickBot="1" x14ac:dyDescent="0.3">
      <c r="A47" s="220" t="s">
        <v>109</v>
      </c>
      <c r="B47" s="221"/>
      <c r="C47" s="173"/>
      <c r="D47" s="173"/>
      <c r="E47" s="438"/>
      <c r="F47" s="439"/>
      <c r="G47" s="278">
        <f>K47*'КУРС ЕВРО'!$C$2</f>
        <v>52092.791999999994</v>
      </c>
      <c r="H47" s="279">
        <f>MROUND(L47*'КУРС ЕВРО'!$C$2,500)</f>
        <v>65000</v>
      </c>
      <c r="K47" s="273">
        <f t="shared" si="0"/>
        <v>754.96799999999996</v>
      </c>
      <c r="L47" s="222">
        <f>1137*0.83</f>
        <v>943.70999999999992</v>
      </c>
    </row>
    <row r="49" spans="1:9" s="57" customFormat="1" x14ac:dyDescent="0.25">
      <c r="A49" s="325" t="s">
        <v>51</v>
      </c>
      <c r="B49" s="67"/>
      <c r="C49" s="67"/>
      <c r="D49" s="67"/>
      <c r="E49" s="67"/>
      <c r="F49" s="67"/>
      <c r="G49" s="67"/>
      <c r="H49" s="122"/>
      <c r="I49" s="123"/>
    </row>
    <row r="50" spans="1:9" s="57" customFormat="1" x14ac:dyDescent="0.25">
      <c r="A50" s="325" t="s">
        <v>47</v>
      </c>
      <c r="B50" s="67"/>
      <c r="C50" s="67"/>
      <c r="D50" s="124">
        <f>'КУРС ЕВРО'!C2</f>
        <v>69</v>
      </c>
      <c r="E50" s="67" t="s">
        <v>46</v>
      </c>
      <c r="H50" s="122"/>
      <c r="I50" s="123"/>
    </row>
    <row r="51" spans="1:9" s="57" customFormat="1" x14ac:dyDescent="0.25">
      <c r="A51" s="325" t="s">
        <v>48</v>
      </c>
      <c r="B51" s="67"/>
      <c r="C51" s="67"/>
      <c r="D51" s="67"/>
      <c r="E51" s="67"/>
      <c r="F51" s="67"/>
      <c r="G51" s="67"/>
      <c r="H51" s="122"/>
      <c r="I51" s="123"/>
    </row>
    <row r="52" spans="1:9" s="57" customFormat="1" x14ac:dyDescent="0.25">
      <c r="A52" s="326" t="s">
        <v>158</v>
      </c>
      <c r="B52" s="67"/>
      <c r="C52" s="67"/>
      <c r="D52" s="67"/>
      <c r="E52" s="67"/>
      <c r="F52" s="67"/>
      <c r="G52" s="67"/>
      <c r="H52" s="122"/>
      <c r="I52" s="123"/>
    </row>
  </sheetData>
  <mergeCells count="17">
    <mergeCell ref="H18:H21"/>
    <mergeCell ref="E42:F43"/>
    <mergeCell ref="E44:F45"/>
    <mergeCell ref="E46:F47"/>
    <mergeCell ref="A1:H2"/>
    <mergeCell ref="A4:F5"/>
    <mergeCell ref="G4:H4"/>
    <mergeCell ref="E37:F38"/>
    <mergeCell ref="E39:F40"/>
    <mergeCell ref="G7:G9"/>
    <mergeCell ref="H7:H9"/>
    <mergeCell ref="G15:G17"/>
    <mergeCell ref="H15:H17"/>
    <mergeCell ref="E34:F35"/>
    <mergeCell ref="G10:G13"/>
    <mergeCell ref="H10:H13"/>
    <mergeCell ref="G18:G21"/>
  </mergeCells>
  <conditionalFormatting sqref="F3">
    <cfRule type="cellIs" dxfId="1" priority="1" operator="equal">
      <formula>"НЕДЕЙСТВИТЕЛЕН"</formula>
    </cfRule>
  </conditionalFormatting>
  <pageMargins left="0.7" right="0.7" top="0.75" bottom="0.75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7"/>
  <sheetViews>
    <sheetView view="pageBreakPreview" topLeftCell="A28" zoomScale="115" zoomScaleNormal="100" zoomScaleSheetLayoutView="115" workbookViewId="0">
      <selection activeCell="L17" sqref="L17"/>
    </sheetView>
  </sheetViews>
  <sheetFormatPr defaultRowHeight="15" outlineLevelCol="1" x14ac:dyDescent="0.25"/>
  <cols>
    <col min="1" max="1" width="21.28515625" style="67" customWidth="1"/>
    <col min="2" max="2" width="19.7109375" style="67" customWidth="1"/>
    <col min="3" max="3" width="12.140625" style="67" hidden="1" customWidth="1"/>
    <col min="4" max="4" width="4.42578125" style="67" customWidth="1"/>
    <col min="5" max="5" width="0.42578125" style="67" customWidth="1"/>
    <col min="6" max="6" width="3" style="67" hidden="1" customWidth="1"/>
    <col min="7" max="7" width="11.140625" style="67" bestFit="1" customWidth="1"/>
    <col min="8" max="8" width="11.85546875" style="125" customWidth="1" outlineLevel="1"/>
    <col min="9" max="10" width="11.85546875" style="57" customWidth="1" outlineLevel="1"/>
  </cols>
  <sheetData>
    <row r="1" spans="1:10" ht="20.25" x14ac:dyDescent="0.3">
      <c r="A1" s="398" t="s">
        <v>188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5.75" thickBot="1" x14ac:dyDescent="0.3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ht="15.75" thickBot="1" x14ac:dyDescent="0.3">
      <c r="A3" s="55"/>
      <c r="B3" s="56"/>
      <c r="C3" s="56"/>
      <c r="D3" s="56"/>
      <c r="E3" s="56"/>
      <c r="F3" s="56"/>
      <c r="G3" s="56"/>
      <c r="H3" s="406" t="s">
        <v>52</v>
      </c>
      <c r="I3" s="407"/>
      <c r="J3" s="407"/>
    </row>
    <row r="4" spans="1:10" ht="15.75" customHeight="1" x14ac:dyDescent="0.25">
      <c r="A4" s="411" t="s">
        <v>15</v>
      </c>
      <c r="B4" s="411"/>
      <c r="C4" s="411"/>
      <c r="D4" s="411"/>
      <c r="E4" s="411"/>
      <c r="F4" s="411"/>
      <c r="G4" s="409" t="s">
        <v>16</v>
      </c>
      <c r="H4" s="457" t="s">
        <v>27</v>
      </c>
      <c r="I4" s="457" t="s">
        <v>71</v>
      </c>
      <c r="J4" s="404" t="s">
        <v>95</v>
      </c>
    </row>
    <row r="5" spans="1:10" ht="15.75" thickBot="1" x14ac:dyDescent="0.3">
      <c r="A5" s="412"/>
      <c r="B5" s="412"/>
      <c r="C5" s="412"/>
      <c r="D5" s="412"/>
      <c r="E5" s="412"/>
      <c r="F5" s="412"/>
      <c r="G5" s="410"/>
      <c r="H5" s="458"/>
      <c r="I5" s="458"/>
      <c r="J5" s="459"/>
    </row>
    <row r="6" spans="1:10" ht="15.75" thickBot="1" x14ac:dyDescent="0.3">
      <c r="A6" s="400"/>
      <c r="B6" s="400"/>
      <c r="C6" s="393"/>
      <c r="D6" s="393"/>
      <c r="E6" s="393"/>
      <c r="F6" s="393"/>
      <c r="G6" s="400"/>
      <c r="H6" s="61"/>
      <c r="I6" s="61"/>
      <c r="J6" s="61"/>
    </row>
    <row r="7" spans="1:10" ht="15.75" thickBot="1" x14ac:dyDescent="0.3">
      <c r="A7" s="416" t="s">
        <v>151</v>
      </c>
      <c r="B7" s="62" t="s">
        <v>37</v>
      </c>
      <c r="C7" s="63"/>
      <c r="D7" s="63"/>
      <c r="E7" s="63"/>
      <c r="F7" s="63"/>
      <c r="G7" s="63"/>
      <c r="H7" s="63"/>
      <c r="I7" s="63"/>
      <c r="J7" s="63"/>
    </row>
    <row r="8" spans="1:10" x14ac:dyDescent="0.25">
      <c r="A8" s="417"/>
      <c r="B8" s="67" t="s">
        <v>23</v>
      </c>
      <c r="G8" s="68" t="s">
        <v>0</v>
      </c>
      <c r="H8" s="69">
        <f>'Ворота EP2018'!I8</f>
        <v>33500</v>
      </c>
      <c r="I8" s="69">
        <f>'Ворота EP2018'!K8</f>
        <v>43500</v>
      </c>
      <c r="J8" s="69">
        <f>'Ворота EP2018'!M8</f>
        <v>46500</v>
      </c>
    </row>
    <row r="9" spans="1:10" x14ac:dyDescent="0.25">
      <c r="A9" s="417"/>
      <c r="B9" s="73" t="s">
        <v>24</v>
      </c>
      <c r="C9" s="73"/>
      <c r="D9" s="73"/>
      <c r="E9" s="73"/>
      <c r="F9" s="73"/>
      <c r="G9" s="74" t="s">
        <v>2</v>
      </c>
      <c r="H9" s="75">
        <f>'Ворота EP2018'!I9</f>
        <v>34000</v>
      </c>
      <c r="I9" s="75">
        <f>'Ворота EP2018'!K9</f>
        <v>45000</v>
      </c>
      <c r="J9" s="75">
        <f>'Ворота EP2018'!M9</f>
        <v>48500</v>
      </c>
    </row>
    <row r="10" spans="1:10" ht="15.75" thickBot="1" x14ac:dyDescent="0.3">
      <c r="A10" s="417"/>
      <c r="B10" s="73" t="s">
        <v>32</v>
      </c>
      <c r="C10" s="73"/>
      <c r="D10" s="73"/>
      <c r="E10" s="73"/>
      <c r="F10" s="73"/>
      <c r="G10" s="79" t="s">
        <v>4</v>
      </c>
      <c r="H10" s="80">
        <f>'Ворота EP2018'!I10</f>
        <v>36500</v>
      </c>
      <c r="I10" s="80">
        <f>'Ворота EP2018'!K10</f>
        <v>50500</v>
      </c>
      <c r="J10" s="80">
        <f>'Ворота EP2018'!M10</f>
        <v>53500</v>
      </c>
    </row>
    <row r="11" spans="1:10" ht="15.75" thickBot="1" x14ac:dyDescent="0.3">
      <c r="A11" s="417"/>
      <c r="B11" s="142" t="s">
        <v>134</v>
      </c>
      <c r="C11" s="73"/>
      <c r="D11" s="73"/>
      <c r="E11" s="73"/>
      <c r="F11" s="73"/>
      <c r="G11" s="84" t="s">
        <v>6</v>
      </c>
      <c r="H11" s="85">
        <f>'Ворота EP2018'!I11</f>
        <v>39000</v>
      </c>
      <c r="I11" s="85">
        <f>'Ворота EP2018'!K11</f>
        <v>48500</v>
      </c>
      <c r="J11" s="85">
        <f>'Ворота EP2018'!M11</f>
        <v>52000</v>
      </c>
    </row>
    <row r="12" spans="1:10" x14ac:dyDescent="0.25">
      <c r="A12" s="417"/>
      <c r="B12" s="67" t="s">
        <v>25</v>
      </c>
      <c r="C12" s="73"/>
      <c r="D12" s="73"/>
      <c r="E12" s="73"/>
      <c r="F12" s="73"/>
      <c r="G12" s="74" t="s">
        <v>7</v>
      </c>
      <c r="H12" s="75">
        <f>'Ворота EP2018'!I12</f>
        <v>39500</v>
      </c>
      <c r="I12" s="75">
        <f>'Ворота EP2018'!K12</f>
        <v>50500</v>
      </c>
      <c r="J12" s="75">
        <f>'Ворота EP2018'!M12</f>
        <v>53500</v>
      </c>
    </row>
    <row r="13" spans="1:10" ht="15.75" thickBot="1" x14ac:dyDescent="0.3">
      <c r="A13" s="417"/>
      <c r="B13" s="90" t="s">
        <v>26</v>
      </c>
      <c r="C13" s="73"/>
      <c r="D13" s="73"/>
      <c r="E13" s="73"/>
      <c r="F13" s="73"/>
      <c r="G13" s="79" t="s">
        <v>8</v>
      </c>
      <c r="H13" s="80">
        <f>'Ворота EP2018'!I13</f>
        <v>45500</v>
      </c>
      <c r="I13" s="80">
        <f>'Ворота EP2018'!K13</f>
        <v>56500</v>
      </c>
      <c r="J13" s="80">
        <f>'Ворота EP2018'!M13</f>
        <v>59500</v>
      </c>
    </row>
    <row r="14" spans="1:10" x14ac:dyDescent="0.25">
      <c r="A14" s="417"/>
      <c r="B14" s="90" t="s">
        <v>185</v>
      </c>
      <c r="C14" s="73"/>
      <c r="D14" s="73"/>
      <c r="E14" s="73"/>
      <c r="F14" s="73"/>
      <c r="G14" s="84" t="s">
        <v>9</v>
      </c>
      <c r="H14" s="85">
        <f>'Ворота EP2018'!I14</f>
        <v>41500</v>
      </c>
      <c r="I14" s="85">
        <f>'Ворота EP2018'!K14</f>
        <v>51000</v>
      </c>
      <c r="J14" s="85">
        <f>'Ворота EP2018'!M14</f>
        <v>54000</v>
      </c>
    </row>
    <row r="15" spans="1:10" x14ac:dyDescent="0.25">
      <c r="A15" s="417"/>
      <c r="B15" s="73"/>
      <c r="C15" s="73"/>
      <c r="D15" s="73"/>
      <c r="E15" s="73"/>
      <c r="F15" s="73"/>
      <c r="G15" s="74" t="s">
        <v>10</v>
      </c>
      <c r="H15" s="75">
        <f>'Ворота EP2018'!I15</f>
        <v>42000</v>
      </c>
      <c r="I15" s="75">
        <f>'Ворота EP2018'!K15</f>
        <v>53000</v>
      </c>
      <c r="J15" s="75">
        <f>'Ворота EP2018'!M15</f>
        <v>56000</v>
      </c>
    </row>
    <row r="16" spans="1:10" x14ac:dyDescent="0.25">
      <c r="A16" s="417"/>
      <c r="B16" s="73"/>
      <c r="C16" s="73"/>
      <c r="D16" s="73"/>
      <c r="E16" s="73"/>
      <c r="F16" s="73"/>
      <c r="G16" s="263" t="s">
        <v>11</v>
      </c>
      <c r="H16" s="264">
        <f>'Ворота EP2018'!I16</f>
        <v>48000</v>
      </c>
      <c r="I16" s="264">
        <f>'Ворота EP2018'!K16</f>
        <v>58500</v>
      </c>
      <c r="J16" s="264">
        <f>'Ворота EP2018'!M16</f>
        <v>62000</v>
      </c>
    </row>
    <row r="17" spans="1:10" ht="15.75" thickBot="1" x14ac:dyDescent="0.3">
      <c r="A17" s="417"/>
      <c r="B17" s="73"/>
      <c r="C17" s="73"/>
      <c r="D17" s="73"/>
      <c r="E17" s="73"/>
      <c r="F17" s="73"/>
      <c r="G17" s="260" t="s">
        <v>135</v>
      </c>
      <c r="H17" s="261">
        <f>'Ворота EP2018'!I17</f>
        <v>48000</v>
      </c>
      <c r="I17" s="261">
        <f>'Ворота EP2018'!K17</f>
        <v>61000</v>
      </c>
      <c r="J17" s="261">
        <f>'Ворота EP2018'!M17</f>
        <v>64500</v>
      </c>
    </row>
    <row r="18" spans="1:10" ht="15.75" thickBot="1" x14ac:dyDescent="0.3">
      <c r="A18" s="417"/>
      <c r="B18" s="73"/>
      <c r="C18" s="73"/>
      <c r="D18" s="73"/>
      <c r="E18" s="73"/>
      <c r="F18" s="73"/>
      <c r="G18" s="280" t="s">
        <v>166</v>
      </c>
      <c r="H18" s="261">
        <f>'Ворота EP2018'!I18</f>
        <v>54500</v>
      </c>
      <c r="I18" s="261">
        <f>'Ворота EP2018'!K18</f>
        <v>65000</v>
      </c>
      <c r="J18" s="261">
        <f>'Ворота EP2018'!M18</f>
        <v>68000</v>
      </c>
    </row>
    <row r="19" spans="1:10" x14ac:dyDescent="0.25">
      <c r="A19" s="417"/>
      <c r="B19" s="73"/>
      <c r="C19" s="73"/>
      <c r="D19" s="73"/>
      <c r="E19" s="73"/>
      <c r="F19" s="73"/>
      <c r="G19" s="68" t="s">
        <v>14</v>
      </c>
      <c r="H19" s="69">
        <f>'Ворота EP2018'!I19</f>
        <v>64000</v>
      </c>
      <c r="I19" s="69">
        <f>'Ворота EP2018'!K19</f>
        <v>72500</v>
      </c>
      <c r="J19" s="69">
        <f>'Ворота EP2018'!M19</f>
        <v>75500</v>
      </c>
    </row>
    <row r="20" spans="1:10" x14ac:dyDescent="0.25">
      <c r="A20" s="417"/>
      <c r="B20" s="73"/>
      <c r="C20" s="73"/>
      <c r="D20" s="73"/>
      <c r="E20" s="73"/>
      <c r="F20" s="73"/>
      <c r="G20" s="263" t="s">
        <v>43</v>
      </c>
      <c r="H20" s="256">
        <f>'Ворота EP2018'!I20</f>
        <v>64500</v>
      </c>
      <c r="I20" s="256">
        <f>'Ворота EP2018'!K20</f>
        <v>73000</v>
      </c>
      <c r="J20" s="256">
        <f>'Ворота EP2018'!M20</f>
        <v>76000</v>
      </c>
    </row>
    <row r="21" spans="1:10" ht="15.75" thickBot="1" x14ac:dyDescent="0.3">
      <c r="A21" s="418"/>
      <c r="B21" s="89"/>
      <c r="C21" s="89"/>
      <c r="D21" s="89"/>
      <c r="E21" s="89"/>
      <c r="F21" s="89"/>
      <c r="G21" s="280" t="s">
        <v>136</v>
      </c>
      <c r="H21" s="80">
        <f>'Ворота EP2018'!I21</f>
        <v>65000</v>
      </c>
      <c r="I21" s="322" t="s">
        <v>155</v>
      </c>
      <c r="J21" s="270">
        <f>'Ворота EP2018'!M21</f>
        <v>86500</v>
      </c>
    </row>
    <row r="22" spans="1:10" ht="15.75" thickBot="1" x14ac:dyDescent="0.3">
      <c r="A22" s="401"/>
      <c r="B22" s="401"/>
      <c r="C22" s="401"/>
      <c r="D22" s="401"/>
      <c r="E22" s="401"/>
      <c r="F22" s="401"/>
      <c r="G22" s="393"/>
      <c r="H22" s="91"/>
      <c r="I22" s="92"/>
      <c r="J22" s="296" t="s">
        <v>138</v>
      </c>
    </row>
    <row r="23" spans="1:10" ht="15.75" thickBot="1" x14ac:dyDescent="0.3">
      <c r="A23" s="402" t="s">
        <v>38</v>
      </c>
      <c r="B23" s="403"/>
      <c r="C23" s="403"/>
      <c r="D23" s="403"/>
      <c r="E23" s="403"/>
      <c r="F23" s="268"/>
      <c r="G23" s="95"/>
      <c r="H23" s="59"/>
      <c r="I23" s="92"/>
      <c r="J23" s="92"/>
    </row>
    <row r="24" spans="1:10" x14ac:dyDescent="0.25">
      <c r="A24" s="96" t="s">
        <v>39</v>
      </c>
      <c r="B24" s="97"/>
      <c r="C24" s="98"/>
      <c r="D24" s="99"/>
      <c r="E24" s="98"/>
      <c r="F24" s="98"/>
      <c r="G24" s="100"/>
      <c r="H24" s="101">
        <f>'Ворота EP2018'!I24</f>
        <v>2690</v>
      </c>
      <c r="I24" s="103"/>
      <c r="J24" s="103"/>
    </row>
    <row r="25" spans="1:10" x14ac:dyDescent="0.25">
      <c r="A25" s="106" t="s">
        <v>40</v>
      </c>
      <c r="B25" s="107"/>
      <c r="D25" s="108"/>
      <c r="G25" s="109"/>
      <c r="H25" s="110">
        <f>'Ворота EP2018'!I25</f>
        <v>11290</v>
      </c>
      <c r="I25" s="103"/>
      <c r="J25" s="103"/>
    </row>
    <row r="26" spans="1:10" x14ac:dyDescent="0.25">
      <c r="A26" s="106" t="s">
        <v>41</v>
      </c>
      <c r="B26" s="107"/>
      <c r="D26" s="108"/>
      <c r="G26" s="109"/>
      <c r="H26" s="110">
        <f>'Ворота EP2018'!I26</f>
        <v>4190</v>
      </c>
      <c r="I26" s="103"/>
      <c r="J26" s="103"/>
    </row>
    <row r="27" spans="1:10" ht="15.75" thickBot="1" x14ac:dyDescent="0.3">
      <c r="A27" s="114" t="s">
        <v>42</v>
      </c>
      <c r="B27" s="115"/>
      <c r="D27" s="116"/>
      <c r="G27" s="117"/>
      <c r="H27" s="110">
        <f>'Ворота EP2018'!I27</f>
        <v>4560</v>
      </c>
      <c r="I27" s="103"/>
      <c r="J27" s="103"/>
    </row>
    <row r="28" spans="1:10" ht="15.75" thickBot="1" x14ac:dyDescent="0.3">
      <c r="A28" s="393"/>
      <c r="B28" s="393"/>
      <c r="C28" s="393"/>
      <c r="D28" s="393"/>
      <c r="E28" s="393"/>
      <c r="F28" s="393"/>
      <c r="G28" s="393"/>
      <c r="H28" s="91"/>
      <c r="I28" s="92"/>
      <c r="J28" s="103"/>
    </row>
    <row r="29" spans="1:10" ht="15.75" thickBot="1" x14ac:dyDescent="0.3">
      <c r="A29" s="402" t="s">
        <v>58</v>
      </c>
      <c r="B29" s="403"/>
      <c r="C29" s="403"/>
      <c r="D29" s="403"/>
      <c r="E29" s="403"/>
      <c r="F29" s="268"/>
      <c r="G29" s="95"/>
      <c r="H29" s="59"/>
      <c r="I29" s="92"/>
      <c r="J29" s="103"/>
    </row>
    <row r="30" spans="1:10" ht="15.75" thickBot="1" x14ac:dyDescent="0.3">
      <c r="A30" s="184" t="s">
        <v>97</v>
      </c>
      <c r="B30" s="268"/>
      <c r="C30" s="268"/>
      <c r="D30" s="268"/>
      <c r="E30" s="268"/>
      <c r="F30" s="268"/>
      <c r="G30" s="268"/>
      <c r="H30" s="268"/>
      <c r="I30"/>
      <c r="J30" s="103"/>
    </row>
    <row r="31" spans="1:10" x14ac:dyDescent="0.25">
      <c r="A31" s="118" t="s">
        <v>60</v>
      </c>
      <c r="B31" s="97"/>
      <c r="C31" s="98"/>
      <c r="D31" s="99"/>
      <c r="E31" s="98"/>
      <c r="F31" s="98"/>
      <c r="G31" s="100"/>
      <c r="H31" s="148">
        <f>'Ворота EP2018'!I31</f>
        <v>14500</v>
      </c>
      <c r="I31" s="103"/>
      <c r="J31" s="103"/>
    </row>
    <row r="32" spans="1:10" x14ac:dyDescent="0.25">
      <c r="A32" s="119" t="s">
        <v>61</v>
      </c>
      <c r="B32" s="107"/>
      <c r="D32" s="108"/>
      <c r="G32" s="109"/>
      <c r="H32" s="147">
        <f>'Ворота EP2018'!I32</f>
        <v>15900</v>
      </c>
      <c r="I32" s="103"/>
      <c r="J32" s="103"/>
    </row>
    <row r="33" spans="1:10" ht="15.75" thickBot="1" x14ac:dyDescent="0.3">
      <c r="A33" s="120" t="s">
        <v>62</v>
      </c>
      <c r="B33" s="115"/>
      <c r="C33" s="121"/>
      <c r="D33" s="116"/>
      <c r="E33" s="121"/>
      <c r="F33" s="121"/>
      <c r="G33" s="117"/>
      <c r="H33" s="149">
        <f>'Ворота EP2018'!I33</f>
        <v>18700</v>
      </c>
      <c r="I33" s="103"/>
      <c r="J33" s="103"/>
    </row>
    <row r="34" spans="1:10" ht="15.75" thickBot="1" x14ac:dyDescent="0.3">
      <c r="A34" s="184" t="s">
        <v>98</v>
      </c>
      <c r="B34" s="268"/>
      <c r="C34" s="268"/>
      <c r="D34" s="268"/>
      <c r="E34" s="268"/>
      <c r="F34" s="268"/>
      <c r="G34" s="268"/>
      <c r="H34" s="268"/>
      <c r="I34"/>
      <c r="J34" s="103"/>
    </row>
    <row r="35" spans="1:10" x14ac:dyDescent="0.25">
      <c r="A35" s="118" t="s">
        <v>57</v>
      </c>
      <c r="B35" s="97"/>
      <c r="C35" s="98"/>
      <c r="D35" s="99"/>
      <c r="E35" s="98"/>
      <c r="F35" s="98"/>
      <c r="G35" s="100"/>
      <c r="H35" s="236">
        <f>'Ворота EP2018'!I35</f>
        <v>20700</v>
      </c>
      <c r="I35" s="103"/>
      <c r="J35" s="103"/>
    </row>
    <row r="36" spans="1:10" x14ac:dyDescent="0.25">
      <c r="A36" s="244" t="s">
        <v>123</v>
      </c>
      <c r="B36" s="239"/>
      <c r="C36" s="240"/>
      <c r="D36" s="241"/>
      <c r="E36" s="240"/>
      <c r="F36" s="240"/>
      <c r="G36" s="242"/>
      <c r="H36" s="245">
        <f>'Ворота EP2018'!I36</f>
        <v>27500</v>
      </c>
      <c r="I36" s="103"/>
      <c r="J36" s="103"/>
    </row>
    <row r="37" spans="1:10" x14ac:dyDescent="0.25">
      <c r="A37" s="244" t="s">
        <v>124</v>
      </c>
      <c r="B37" s="239"/>
      <c r="C37" s="240"/>
      <c r="D37" s="241"/>
      <c r="E37" s="240"/>
      <c r="F37" s="240"/>
      <c r="G37" s="242"/>
      <c r="H37" s="247">
        <f>'Ворота EP2018'!I37</f>
        <v>33100</v>
      </c>
      <c r="I37" s="103"/>
      <c r="J37" s="103"/>
    </row>
    <row r="38" spans="1:10" x14ac:dyDescent="0.25">
      <c r="A38" s="238" t="s">
        <v>59</v>
      </c>
      <c r="B38" s="239"/>
      <c r="C38" s="240"/>
      <c r="D38" s="241"/>
      <c r="E38" s="240"/>
      <c r="F38" s="240"/>
      <c r="G38" s="242"/>
      <c r="H38" s="110">
        <f>'Ворота EP2018'!I38</f>
        <v>970</v>
      </c>
      <c r="I38" s="103"/>
      <c r="J38" s="103"/>
    </row>
    <row r="39" spans="1:10" ht="15.75" thickBot="1" x14ac:dyDescent="0.3">
      <c r="A39" s="120" t="s">
        <v>125</v>
      </c>
      <c r="B39" s="115"/>
      <c r="C39" s="121"/>
      <c r="D39" s="116"/>
      <c r="E39" s="121"/>
      <c r="F39" s="121"/>
      <c r="G39" s="117"/>
      <c r="H39" s="243">
        <f>'Ворота EP2018'!I39</f>
        <v>4620</v>
      </c>
      <c r="I39" s="103"/>
      <c r="J39" s="103"/>
    </row>
    <row r="40" spans="1:10" ht="15.75" thickBot="1" x14ac:dyDescent="0.3">
      <c r="A40" s="184" t="s">
        <v>99</v>
      </c>
      <c r="B40" s="268"/>
      <c r="C40" s="268"/>
      <c r="D40" s="268"/>
      <c r="E40" s="268"/>
      <c r="F40" s="268"/>
      <c r="G40" s="268"/>
      <c r="H40" s="268"/>
      <c r="I40"/>
      <c r="J40" s="103"/>
    </row>
    <row r="41" spans="1:10" x14ac:dyDescent="0.25">
      <c r="A41" s="395" t="s">
        <v>131</v>
      </c>
      <c r="B41" s="396"/>
      <c r="C41" s="396"/>
      <c r="D41" s="396"/>
      <c r="E41" s="396"/>
      <c r="F41" s="396"/>
      <c r="G41" s="397"/>
      <c r="H41" s="236">
        <f>'Ворота EP2018'!I41</f>
        <v>32200</v>
      </c>
      <c r="I41" s="250"/>
      <c r="J41" s="103"/>
    </row>
    <row r="42" spans="1:10" x14ac:dyDescent="0.25">
      <c r="A42" s="244" t="s">
        <v>129</v>
      </c>
      <c r="B42" s="239"/>
      <c r="C42" s="240"/>
      <c r="D42" s="241"/>
      <c r="E42" s="240"/>
      <c r="F42" s="240"/>
      <c r="G42" s="242"/>
      <c r="H42" s="245">
        <f>'Ворота EP2018'!I42</f>
        <v>48000</v>
      </c>
      <c r="I42" s="103"/>
      <c r="J42" s="103"/>
    </row>
    <row r="43" spans="1:10" x14ac:dyDescent="0.25">
      <c r="A43" s="244" t="s">
        <v>130</v>
      </c>
      <c r="B43" s="239"/>
      <c r="C43" s="240"/>
      <c r="D43" s="241"/>
      <c r="E43" s="240"/>
      <c r="F43" s="240"/>
      <c r="G43" s="242"/>
      <c r="H43" s="245">
        <f>'Ворота EP2018'!I43</f>
        <v>59200</v>
      </c>
      <c r="I43" s="103"/>
      <c r="J43" s="103"/>
    </row>
    <row r="44" spans="1:10" x14ac:dyDescent="0.25">
      <c r="A44" s="238" t="s">
        <v>128</v>
      </c>
      <c r="B44" s="239"/>
      <c r="C44" s="240"/>
      <c r="D44" s="241"/>
      <c r="E44" s="240"/>
      <c r="F44" s="240"/>
      <c r="G44" s="242"/>
      <c r="H44" s="110">
        <f>'Ворота EP2018'!I44</f>
        <v>8600</v>
      </c>
      <c r="I44" s="103"/>
      <c r="J44" s="103"/>
    </row>
    <row r="45" spans="1:10" x14ac:dyDescent="0.25">
      <c r="A45" s="238" t="s">
        <v>127</v>
      </c>
      <c r="B45" s="239"/>
      <c r="C45" s="240"/>
      <c r="D45" s="241"/>
      <c r="E45" s="240"/>
      <c r="F45" s="240"/>
      <c r="G45" s="242"/>
      <c r="H45" s="110">
        <f>'Ворота EP2018'!I45</f>
        <v>4640</v>
      </c>
      <c r="I45" s="103"/>
      <c r="J45" s="103"/>
    </row>
    <row r="46" spans="1:10" ht="15.75" thickBot="1" x14ac:dyDescent="0.3">
      <c r="A46" s="120" t="s">
        <v>126</v>
      </c>
      <c r="B46" s="115"/>
      <c r="C46" s="121"/>
      <c r="D46" s="116"/>
      <c r="E46" s="121"/>
      <c r="F46" s="121"/>
      <c r="G46" s="117"/>
      <c r="H46" s="243">
        <f>'Ворота EP2018'!I46</f>
        <v>4830</v>
      </c>
      <c r="I46" s="103"/>
      <c r="J46" s="103"/>
    </row>
    <row r="47" spans="1:10" x14ac:dyDescent="0.25">
      <c r="A47" s="57"/>
      <c r="B47" s="57"/>
      <c r="C47" s="57"/>
      <c r="D47" s="57"/>
      <c r="E47" s="57"/>
      <c r="F47" s="57"/>
      <c r="G47" s="57"/>
      <c r="H47" s="122"/>
    </row>
    <row r="48" spans="1:10" x14ac:dyDescent="0.25">
      <c r="A48" s="67" t="s">
        <v>51</v>
      </c>
      <c r="H48" s="122"/>
    </row>
    <row r="49" spans="1:8" x14ac:dyDescent="0.25">
      <c r="A49" s="67" t="s">
        <v>47</v>
      </c>
      <c r="D49" s="124">
        <f>'КУРС ЕВРО'!C2</f>
        <v>69</v>
      </c>
      <c r="E49" s="67" t="s">
        <v>46</v>
      </c>
      <c r="F49" s="57"/>
      <c r="G49" s="57"/>
      <c r="H49" s="122"/>
    </row>
    <row r="50" spans="1:8" x14ac:dyDescent="0.25">
      <c r="A50" s="67" t="s">
        <v>48</v>
      </c>
      <c r="H50" s="122"/>
    </row>
    <row r="51" spans="1:8" x14ac:dyDescent="0.25">
      <c r="A51" s="253" t="s">
        <v>139</v>
      </c>
      <c r="H51" s="122"/>
    </row>
    <row r="52" spans="1:8" x14ac:dyDescent="0.25">
      <c r="H52" s="122"/>
    </row>
    <row r="53" spans="1:8" x14ac:dyDescent="0.25">
      <c r="H53" s="122"/>
    </row>
    <row r="54" spans="1:8" x14ac:dyDescent="0.25">
      <c r="H54" s="122"/>
    </row>
    <row r="55" spans="1:8" x14ac:dyDescent="0.25">
      <c r="A55" s="57"/>
      <c r="H55" s="122"/>
    </row>
    <row r="56" spans="1:8" x14ac:dyDescent="0.25">
      <c r="H56" s="122"/>
    </row>
    <row r="57" spans="1:8" x14ac:dyDescent="0.25">
      <c r="H57" s="122"/>
    </row>
    <row r="58" spans="1:8" x14ac:dyDescent="0.25">
      <c r="H58" s="122"/>
    </row>
    <row r="59" spans="1:8" x14ac:dyDescent="0.25">
      <c r="H59" s="122"/>
    </row>
    <row r="60" spans="1:8" x14ac:dyDescent="0.25">
      <c r="H60" s="122"/>
    </row>
    <row r="61" spans="1:8" x14ac:dyDescent="0.25">
      <c r="H61" s="122"/>
    </row>
    <row r="62" spans="1:8" x14ac:dyDescent="0.25">
      <c r="H62" s="122"/>
    </row>
    <row r="63" spans="1:8" x14ac:dyDescent="0.25">
      <c r="H63" s="122"/>
    </row>
    <row r="64" spans="1:8" x14ac:dyDescent="0.25">
      <c r="H64" s="122"/>
    </row>
    <row r="65" spans="8:8" x14ac:dyDescent="0.25">
      <c r="H65" s="122"/>
    </row>
    <row r="66" spans="8:8" x14ac:dyDescent="0.25">
      <c r="H66" s="122"/>
    </row>
    <row r="67" spans="8:8" x14ac:dyDescent="0.25">
      <c r="H67" s="122"/>
    </row>
    <row r="68" spans="8:8" x14ac:dyDescent="0.25">
      <c r="H68" s="122"/>
    </row>
    <row r="69" spans="8:8" x14ac:dyDescent="0.25">
      <c r="H69" s="122"/>
    </row>
    <row r="70" spans="8:8" x14ac:dyDescent="0.25">
      <c r="H70" s="122"/>
    </row>
    <row r="71" spans="8:8" x14ac:dyDescent="0.25">
      <c r="H71" s="122"/>
    </row>
    <row r="72" spans="8:8" x14ac:dyDescent="0.25">
      <c r="H72" s="122"/>
    </row>
    <row r="73" spans="8:8" x14ac:dyDescent="0.25">
      <c r="H73" s="122"/>
    </row>
    <row r="74" spans="8:8" x14ac:dyDescent="0.25">
      <c r="H74" s="122"/>
    </row>
    <row r="75" spans="8:8" x14ac:dyDescent="0.25">
      <c r="H75" s="122"/>
    </row>
    <row r="76" spans="8:8" x14ac:dyDescent="0.25">
      <c r="H76" s="122"/>
    </row>
    <row r="77" spans="8:8" x14ac:dyDescent="0.25">
      <c r="H77" s="122"/>
    </row>
    <row r="78" spans="8:8" x14ac:dyDescent="0.25">
      <c r="H78" s="122"/>
    </row>
    <row r="79" spans="8:8" x14ac:dyDescent="0.25">
      <c r="H79" s="122"/>
    </row>
    <row r="80" spans="8:8" x14ac:dyDescent="0.25">
      <c r="H80" s="122"/>
    </row>
    <row r="81" spans="8:8" x14ac:dyDescent="0.25">
      <c r="H81" s="122"/>
    </row>
    <row r="82" spans="8:8" x14ac:dyDescent="0.25">
      <c r="H82" s="122"/>
    </row>
    <row r="83" spans="8:8" x14ac:dyDescent="0.25">
      <c r="H83" s="122"/>
    </row>
    <row r="84" spans="8:8" x14ac:dyDescent="0.25">
      <c r="H84" s="122"/>
    </row>
    <row r="85" spans="8:8" x14ac:dyDescent="0.25">
      <c r="H85" s="122"/>
    </row>
    <row r="86" spans="8:8" x14ac:dyDescent="0.25">
      <c r="H86" s="122"/>
    </row>
    <row r="87" spans="8:8" x14ac:dyDescent="0.25">
      <c r="H87" s="122"/>
    </row>
    <row r="88" spans="8:8" x14ac:dyDescent="0.25">
      <c r="H88" s="122"/>
    </row>
    <row r="89" spans="8:8" x14ac:dyDescent="0.25">
      <c r="H89" s="122"/>
    </row>
    <row r="90" spans="8:8" x14ac:dyDescent="0.25">
      <c r="H90" s="122"/>
    </row>
    <row r="91" spans="8:8" x14ac:dyDescent="0.25">
      <c r="H91" s="122"/>
    </row>
    <row r="92" spans="8:8" x14ac:dyDescent="0.25">
      <c r="H92" s="122"/>
    </row>
    <row r="93" spans="8:8" x14ac:dyDescent="0.25">
      <c r="H93" s="122"/>
    </row>
    <row r="94" spans="8:8" x14ac:dyDescent="0.25">
      <c r="H94" s="122"/>
    </row>
    <row r="95" spans="8:8" x14ac:dyDescent="0.25">
      <c r="H95" s="122"/>
    </row>
    <row r="96" spans="8:8" x14ac:dyDescent="0.25">
      <c r="H96" s="122"/>
    </row>
    <row r="97" spans="8:8" x14ac:dyDescent="0.25">
      <c r="H97" s="122"/>
    </row>
    <row r="98" spans="8:8" x14ac:dyDescent="0.25">
      <c r="H98" s="122"/>
    </row>
    <row r="99" spans="8:8" x14ac:dyDescent="0.25">
      <c r="H99" s="122"/>
    </row>
    <row r="100" spans="8:8" x14ac:dyDescent="0.25">
      <c r="H100" s="122"/>
    </row>
    <row r="101" spans="8:8" x14ac:dyDescent="0.25">
      <c r="H101" s="122"/>
    </row>
    <row r="102" spans="8:8" x14ac:dyDescent="0.25">
      <c r="H102" s="122"/>
    </row>
    <row r="103" spans="8:8" x14ac:dyDescent="0.25">
      <c r="H103" s="122"/>
    </row>
    <row r="104" spans="8:8" x14ac:dyDescent="0.25">
      <c r="H104" s="122"/>
    </row>
    <row r="105" spans="8:8" x14ac:dyDescent="0.25">
      <c r="H105" s="122"/>
    </row>
    <row r="106" spans="8:8" x14ac:dyDescent="0.25">
      <c r="H106" s="122"/>
    </row>
    <row r="107" spans="8:8" x14ac:dyDescent="0.25">
      <c r="H107" s="122"/>
    </row>
    <row r="108" spans="8:8" x14ac:dyDescent="0.25">
      <c r="H108" s="122"/>
    </row>
    <row r="109" spans="8:8" x14ac:dyDescent="0.25">
      <c r="H109" s="122"/>
    </row>
    <row r="110" spans="8:8" x14ac:dyDescent="0.25">
      <c r="H110" s="122"/>
    </row>
    <row r="111" spans="8:8" x14ac:dyDescent="0.25">
      <c r="H111" s="122"/>
    </row>
    <row r="112" spans="8:8" x14ac:dyDescent="0.25">
      <c r="H112" s="122"/>
    </row>
    <row r="113" spans="8:8" x14ac:dyDescent="0.25">
      <c r="H113" s="122"/>
    </row>
    <row r="114" spans="8:8" x14ac:dyDescent="0.25">
      <c r="H114" s="122"/>
    </row>
    <row r="115" spans="8:8" x14ac:dyDescent="0.25">
      <c r="H115" s="122"/>
    </row>
    <row r="116" spans="8:8" x14ac:dyDescent="0.25">
      <c r="H116" s="122"/>
    </row>
    <row r="117" spans="8:8" x14ac:dyDescent="0.25">
      <c r="H117" s="122"/>
    </row>
    <row r="118" spans="8:8" x14ac:dyDescent="0.25">
      <c r="H118" s="122"/>
    </row>
    <row r="119" spans="8:8" x14ac:dyDescent="0.25">
      <c r="H119" s="122"/>
    </row>
    <row r="120" spans="8:8" x14ac:dyDescent="0.25">
      <c r="H120" s="122"/>
    </row>
    <row r="121" spans="8:8" x14ac:dyDescent="0.25">
      <c r="H121" s="122"/>
    </row>
    <row r="122" spans="8:8" x14ac:dyDescent="0.25">
      <c r="H122" s="122"/>
    </row>
    <row r="123" spans="8:8" x14ac:dyDescent="0.25">
      <c r="H123" s="122"/>
    </row>
    <row r="124" spans="8:8" x14ac:dyDescent="0.25">
      <c r="H124" s="122"/>
    </row>
    <row r="125" spans="8:8" x14ac:dyDescent="0.25">
      <c r="H125" s="122"/>
    </row>
    <row r="126" spans="8:8" x14ac:dyDescent="0.25">
      <c r="H126" s="122"/>
    </row>
    <row r="127" spans="8:8" x14ac:dyDescent="0.25">
      <c r="H127" s="122"/>
    </row>
    <row r="128" spans="8:8" x14ac:dyDescent="0.25">
      <c r="H128" s="122"/>
    </row>
    <row r="129" spans="8:8" x14ac:dyDescent="0.25">
      <c r="H129" s="122"/>
    </row>
    <row r="130" spans="8:8" x14ac:dyDescent="0.25">
      <c r="H130" s="122"/>
    </row>
    <row r="131" spans="8:8" x14ac:dyDescent="0.25">
      <c r="H131" s="122"/>
    </row>
    <row r="132" spans="8:8" x14ac:dyDescent="0.25">
      <c r="H132" s="122"/>
    </row>
    <row r="133" spans="8:8" x14ac:dyDescent="0.25">
      <c r="H133" s="122"/>
    </row>
    <row r="134" spans="8:8" x14ac:dyDescent="0.25">
      <c r="H134" s="122"/>
    </row>
    <row r="135" spans="8:8" x14ac:dyDescent="0.25">
      <c r="H135" s="122"/>
    </row>
    <row r="136" spans="8:8" x14ac:dyDescent="0.25">
      <c r="H136" s="122"/>
    </row>
    <row r="137" spans="8:8" x14ac:dyDescent="0.25">
      <c r="H137" s="122"/>
    </row>
  </sheetData>
  <mergeCells count="15">
    <mergeCell ref="A29:E29"/>
    <mergeCell ref="A41:G41"/>
    <mergeCell ref="H4:H5"/>
    <mergeCell ref="I4:I5"/>
    <mergeCell ref="J4:J5"/>
    <mergeCell ref="A6:G6"/>
    <mergeCell ref="A7:A21"/>
    <mergeCell ref="A22:G22"/>
    <mergeCell ref="A23:E23"/>
    <mergeCell ref="A28:G28"/>
    <mergeCell ref="A1:J1"/>
    <mergeCell ref="A2:J2"/>
    <mergeCell ref="H3:J3"/>
    <mergeCell ref="A4:F5"/>
    <mergeCell ref="G4:G5"/>
  </mergeCells>
  <pageMargins left="0.7" right="0.7" top="0.75" bottom="0.75" header="0.3" footer="0.3"/>
  <pageSetup paperSize="9" scale="94" orientation="portrait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5"/>
  <sheetViews>
    <sheetView view="pageBreakPreview" zoomScale="130" zoomScaleNormal="100" zoomScaleSheetLayoutView="130" workbookViewId="0">
      <selection activeCell="A3" sqref="A3"/>
    </sheetView>
  </sheetViews>
  <sheetFormatPr defaultRowHeight="15" x14ac:dyDescent="0.25"/>
  <cols>
    <col min="1" max="1" width="24" customWidth="1"/>
    <col min="2" max="2" width="20.42578125" customWidth="1"/>
    <col min="3" max="3" width="8.85546875" customWidth="1"/>
    <col min="4" max="4" width="3" bestFit="1" customWidth="1"/>
    <col min="5" max="5" width="7.5703125" bestFit="1" customWidth="1"/>
    <col min="6" max="6" width="1.7109375" customWidth="1"/>
    <col min="7" max="7" width="14.7109375" customWidth="1"/>
    <col min="8" max="8" width="10.85546875" customWidth="1"/>
  </cols>
  <sheetData>
    <row r="1" spans="1:8" x14ac:dyDescent="0.25">
      <c r="A1" s="398" t="s">
        <v>187</v>
      </c>
      <c r="B1" s="398"/>
      <c r="C1" s="398"/>
      <c r="D1" s="398"/>
      <c r="E1" s="398"/>
      <c r="F1" s="398"/>
      <c r="G1" s="398"/>
      <c r="H1" s="398"/>
    </row>
    <row r="2" spans="1:8" ht="27.75" customHeight="1" x14ac:dyDescent="0.25">
      <c r="A2" s="398"/>
      <c r="B2" s="398"/>
      <c r="C2" s="398"/>
      <c r="D2" s="398"/>
      <c r="E2" s="398"/>
      <c r="F2" s="398"/>
      <c r="G2" s="398"/>
      <c r="H2" s="398"/>
    </row>
    <row r="3" spans="1:8" ht="15.75" thickBot="1" x14ac:dyDescent="0.3">
      <c r="A3" s="140"/>
      <c r="B3" s="140"/>
      <c r="C3" s="140"/>
      <c r="D3" s="140"/>
      <c r="E3" s="140"/>
      <c r="F3" s="140"/>
      <c r="G3" s="140"/>
      <c r="H3" s="141">
        <f>'КУРС ЕВРО'!C5</f>
        <v>43160</v>
      </c>
    </row>
    <row r="4" spans="1:8" ht="30.75" thickBot="1" x14ac:dyDescent="0.3">
      <c r="A4" s="419" t="s">
        <v>15</v>
      </c>
      <c r="B4" s="411"/>
      <c r="C4" s="411"/>
      <c r="D4" s="411"/>
      <c r="E4" s="411"/>
      <c r="F4" s="411"/>
      <c r="G4" s="269" t="s">
        <v>69</v>
      </c>
      <c r="H4" s="166" t="s">
        <v>96</v>
      </c>
    </row>
    <row r="5" spans="1:8" x14ac:dyDescent="0.25">
      <c r="A5" s="420" t="s">
        <v>143</v>
      </c>
      <c r="B5" s="421"/>
      <c r="C5" s="155" t="s">
        <v>33</v>
      </c>
      <c r="D5" s="156"/>
      <c r="E5" s="156"/>
      <c r="F5" s="157"/>
      <c r="G5" s="424" t="s">
        <v>70</v>
      </c>
      <c r="H5" s="158">
        <f>'Двери EP2018(стандарт)'!I5</f>
        <v>97000</v>
      </c>
    </row>
    <row r="6" spans="1:8" x14ac:dyDescent="0.25">
      <c r="A6" s="422"/>
      <c r="B6" s="423"/>
      <c r="C6" s="108" t="s">
        <v>12</v>
      </c>
      <c r="D6" s="67"/>
      <c r="E6" s="67"/>
      <c r="F6" s="67"/>
      <c r="G6" s="425"/>
      <c r="H6" s="427">
        <f>'Двери EP2018(стандарт)'!I6</f>
        <v>103000</v>
      </c>
    </row>
    <row r="7" spans="1:8" x14ac:dyDescent="0.25">
      <c r="A7" s="422"/>
      <c r="B7" s="423"/>
      <c r="C7" s="136" t="s">
        <v>13</v>
      </c>
      <c r="D7" s="133"/>
      <c r="E7" s="133"/>
      <c r="F7" s="134"/>
      <c r="G7" s="425"/>
      <c r="H7" s="428">
        <f>'Двери EP2018(стандарт)'!I7</f>
        <v>0</v>
      </c>
    </row>
    <row r="8" spans="1:8" x14ac:dyDescent="0.25">
      <c r="A8" s="132" t="s">
        <v>34</v>
      </c>
      <c r="B8" s="150" t="s">
        <v>63</v>
      </c>
      <c r="C8" s="108" t="s">
        <v>1</v>
      </c>
      <c r="D8" s="67"/>
      <c r="E8" s="67"/>
      <c r="F8" s="67"/>
      <c r="G8" s="425"/>
      <c r="H8" s="427">
        <f>'Двери EP2018(стандарт)'!I8</f>
        <v>108500</v>
      </c>
    </row>
    <row r="9" spans="1:8" x14ac:dyDescent="0.25">
      <c r="A9" s="153" t="s">
        <v>35</v>
      </c>
      <c r="B9" s="151" t="s">
        <v>64</v>
      </c>
      <c r="C9" s="108" t="s">
        <v>3</v>
      </c>
      <c r="D9" s="67"/>
      <c r="E9" s="67"/>
      <c r="F9" s="131"/>
      <c r="G9" s="425"/>
      <c r="H9" s="427">
        <f>'Двери EP2018(стандарт)'!I9</f>
        <v>0</v>
      </c>
    </row>
    <row r="10" spans="1:8" ht="15.75" thickBot="1" x14ac:dyDescent="0.3">
      <c r="A10" s="154" t="s">
        <v>36</v>
      </c>
      <c r="B10" s="152" t="s">
        <v>65</v>
      </c>
      <c r="C10" s="136" t="s">
        <v>5</v>
      </c>
      <c r="D10" s="133"/>
      <c r="E10" s="133"/>
      <c r="F10" s="134"/>
      <c r="G10" s="426"/>
      <c r="H10" s="429">
        <f>'Двери EP2018(стандарт)'!I10</f>
        <v>0</v>
      </c>
    </row>
    <row r="11" spans="1:8" ht="15.75" thickBot="1" x14ac:dyDescent="0.3">
      <c r="A11" s="400"/>
      <c r="B11" s="400"/>
      <c r="C11" s="400"/>
      <c r="D11" s="400"/>
      <c r="E11" s="400"/>
      <c r="F11" s="400"/>
      <c r="G11" s="400"/>
      <c r="H11" s="135"/>
    </row>
    <row r="12" spans="1:8" x14ac:dyDescent="0.25">
      <c r="A12" s="420" t="s">
        <v>144</v>
      </c>
      <c r="B12" s="421"/>
      <c r="C12" s="99" t="s">
        <v>33</v>
      </c>
      <c r="D12" s="98"/>
      <c r="E12" s="98"/>
      <c r="F12" s="98"/>
      <c r="G12" s="424" t="s">
        <v>70</v>
      </c>
      <c r="H12" s="430">
        <f>'Двери EP2018(стандарт)'!I12</f>
        <v>57500</v>
      </c>
    </row>
    <row r="13" spans="1:8" x14ac:dyDescent="0.25">
      <c r="A13" s="422"/>
      <c r="B13" s="423"/>
      <c r="C13" s="108" t="s">
        <v>12</v>
      </c>
      <c r="D13" s="67"/>
      <c r="E13" s="67"/>
      <c r="F13" s="67"/>
      <c r="G13" s="425"/>
      <c r="H13" s="427">
        <f>'Двери EP2018(стандарт)'!I13</f>
        <v>0</v>
      </c>
    </row>
    <row r="14" spans="1:8" x14ac:dyDescent="0.25">
      <c r="A14" s="422"/>
      <c r="B14" s="423"/>
      <c r="C14" s="136" t="s">
        <v>13</v>
      </c>
      <c r="D14" s="133"/>
      <c r="E14" s="133"/>
      <c r="F14" s="134"/>
      <c r="G14" s="425"/>
      <c r="H14" s="428">
        <f>'Двери EP2018(стандарт)'!I14</f>
        <v>0</v>
      </c>
    </row>
    <row r="15" spans="1:8" x14ac:dyDescent="0.25">
      <c r="A15" s="132" t="s">
        <v>34</v>
      </c>
      <c r="B15" s="150" t="s">
        <v>66</v>
      </c>
      <c r="C15" s="108" t="s">
        <v>1</v>
      </c>
      <c r="D15" s="67"/>
      <c r="E15" s="67"/>
      <c r="F15" s="67"/>
      <c r="G15" s="425"/>
      <c r="H15" s="427">
        <f>'Двери EP2018(стандарт)'!I15</f>
        <v>69500</v>
      </c>
    </row>
    <row r="16" spans="1:8" x14ac:dyDescent="0.25">
      <c r="A16" s="153" t="s">
        <v>35</v>
      </c>
      <c r="B16" s="151" t="s">
        <v>67</v>
      </c>
      <c r="C16" s="108" t="s">
        <v>3</v>
      </c>
      <c r="D16" s="67"/>
      <c r="E16" s="67"/>
      <c r="F16" s="131"/>
      <c r="G16" s="425"/>
      <c r="H16" s="427">
        <f>'Двери EP2018(стандарт)'!I16</f>
        <v>0</v>
      </c>
    </row>
    <row r="17" spans="1:8" ht="15.75" thickBot="1" x14ac:dyDescent="0.3">
      <c r="A17" s="154" t="s">
        <v>36</v>
      </c>
      <c r="B17" s="152" t="s">
        <v>68</v>
      </c>
      <c r="C17" s="136" t="s">
        <v>5</v>
      </c>
      <c r="D17" s="133"/>
      <c r="E17" s="133"/>
      <c r="F17" s="134"/>
      <c r="G17" s="426"/>
      <c r="H17" s="429">
        <f>'Двери EP2018(стандарт)'!I17</f>
        <v>0</v>
      </c>
    </row>
    <row r="18" spans="1:8" ht="15.75" thickBot="1" x14ac:dyDescent="0.3">
      <c r="A18" s="400"/>
      <c r="B18" s="400"/>
      <c r="C18" s="400"/>
      <c r="D18" s="400"/>
      <c r="E18" s="400"/>
      <c r="F18" s="400"/>
      <c r="G18" s="400"/>
      <c r="H18" s="135"/>
    </row>
    <row r="19" spans="1:8" ht="15.75" thickBot="1" x14ac:dyDescent="0.3">
      <c r="A19" s="228" t="s">
        <v>145</v>
      </c>
      <c r="B19" s="267"/>
      <c r="C19" s="267"/>
      <c r="D19" s="143"/>
      <c r="E19" s="267"/>
      <c r="F19" s="267"/>
      <c r="G19" s="229"/>
      <c r="H19" s="230">
        <f>'Двери EP2018(стандарт)'!I19</f>
        <v>4900</v>
      </c>
    </row>
    <row r="20" spans="1:8" x14ac:dyDescent="0.25">
      <c r="A20" s="231"/>
      <c r="B20" s="231"/>
      <c r="C20" s="73"/>
      <c r="D20" s="231"/>
      <c r="E20" s="231"/>
      <c r="F20" s="231"/>
      <c r="G20" s="231"/>
    </row>
    <row r="21" spans="1:8" x14ac:dyDescent="0.25">
      <c r="A21" s="67"/>
      <c r="B21" s="67"/>
      <c r="C21" s="67"/>
      <c r="D21" s="67"/>
      <c r="E21" s="67"/>
      <c r="F21" s="67"/>
      <c r="G21" s="67"/>
    </row>
    <row r="22" spans="1:8" x14ac:dyDescent="0.25">
      <c r="A22" s="67"/>
      <c r="B22" s="67"/>
      <c r="C22" s="67"/>
      <c r="D22" s="67"/>
      <c r="E22" s="67"/>
      <c r="F22" s="67"/>
      <c r="G22" s="67"/>
    </row>
    <row r="23" spans="1:8" x14ac:dyDescent="0.25">
      <c r="A23" s="67"/>
      <c r="B23" s="67"/>
      <c r="C23" s="67"/>
      <c r="D23" s="67"/>
      <c r="E23" s="67"/>
      <c r="F23" s="67"/>
      <c r="G23" s="67"/>
    </row>
    <row r="24" spans="1:8" x14ac:dyDescent="0.25">
      <c r="A24" s="67"/>
      <c r="B24" s="67"/>
      <c r="C24" s="67"/>
      <c r="D24" s="67"/>
      <c r="E24" s="67"/>
      <c r="F24" s="67"/>
      <c r="G24" s="67"/>
    </row>
    <row r="25" spans="1:8" x14ac:dyDescent="0.25">
      <c r="A25" s="67"/>
      <c r="B25" s="67"/>
      <c r="C25" s="67"/>
      <c r="D25" s="67"/>
      <c r="E25" s="67"/>
      <c r="F25" s="67"/>
      <c r="G25" s="67"/>
    </row>
    <row r="26" spans="1:8" x14ac:dyDescent="0.25">
      <c r="A26" s="67"/>
      <c r="B26" s="67"/>
      <c r="C26" s="67"/>
      <c r="D26" s="67"/>
      <c r="E26" s="67"/>
      <c r="F26" s="67"/>
      <c r="G26" s="67"/>
    </row>
    <row r="27" spans="1:8" x14ac:dyDescent="0.25">
      <c r="A27" s="67"/>
      <c r="B27" s="67"/>
      <c r="C27" s="67"/>
      <c r="D27" s="67"/>
      <c r="E27" s="67"/>
      <c r="F27" s="67"/>
      <c r="G27" s="67"/>
    </row>
    <row r="28" spans="1:8" x14ac:dyDescent="0.25">
      <c r="A28" s="67"/>
      <c r="B28" s="67"/>
      <c r="C28" s="67"/>
      <c r="D28" s="67"/>
      <c r="E28" s="67"/>
      <c r="F28" s="67"/>
      <c r="G28" s="67"/>
    </row>
    <row r="29" spans="1:8" x14ac:dyDescent="0.25">
      <c r="A29" s="67"/>
      <c r="B29" s="67"/>
      <c r="C29" s="67"/>
      <c r="D29" s="67"/>
      <c r="E29" s="67"/>
      <c r="F29" s="67"/>
      <c r="G29" s="67"/>
    </row>
    <row r="30" spans="1:8" x14ac:dyDescent="0.25">
      <c r="A30" s="67"/>
      <c r="B30" s="67"/>
      <c r="C30" s="67"/>
      <c r="D30" s="67"/>
      <c r="E30" s="67"/>
      <c r="F30" s="67"/>
      <c r="G30" s="67"/>
    </row>
    <row r="31" spans="1:8" x14ac:dyDescent="0.25">
      <c r="A31" s="67"/>
      <c r="B31" s="67"/>
      <c r="C31" s="67"/>
      <c r="D31" s="67"/>
      <c r="E31" s="67"/>
      <c r="F31" s="67"/>
      <c r="G31" s="67"/>
    </row>
    <row r="32" spans="1:8" x14ac:dyDescent="0.25">
      <c r="A32" s="67" t="s">
        <v>51</v>
      </c>
      <c r="B32" s="67"/>
      <c r="C32" s="67"/>
      <c r="D32" s="67"/>
      <c r="E32" s="67"/>
      <c r="F32" s="67"/>
      <c r="G32" s="67"/>
    </row>
    <row r="33" spans="1:7" x14ac:dyDescent="0.25">
      <c r="A33" s="67" t="s">
        <v>47</v>
      </c>
      <c r="B33" s="67"/>
      <c r="C33" s="67"/>
      <c r="D33" s="67">
        <f>'Ворота EP2018'!D49</f>
        <v>69</v>
      </c>
      <c r="E33" s="67" t="s">
        <v>46</v>
      </c>
      <c r="F33" s="57"/>
      <c r="G33" s="57"/>
    </row>
    <row r="34" spans="1:7" x14ac:dyDescent="0.25">
      <c r="A34" s="67" t="s">
        <v>48</v>
      </c>
      <c r="B34" s="67"/>
      <c r="C34" s="67"/>
      <c r="D34" s="67"/>
      <c r="E34" s="67"/>
      <c r="F34" s="67"/>
      <c r="G34" s="67"/>
    </row>
    <row r="35" spans="1:7" x14ac:dyDescent="0.25">
      <c r="A35" s="67"/>
      <c r="B35" s="67"/>
      <c r="C35" s="67"/>
      <c r="D35" s="67"/>
      <c r="E35" s="67"/>
      <c r="F35" s="67"/>
      <c r="G35" s="67"/>
    </row>
  </sheetData>
  <mergeCells count="12">
    <mergeCell ref="A18:G18"/>
    <mergeCell ref="A11:G11"/>
    <mergeCell ref="A12:B14"/>
    <mergeCell ref="G12:G17"/>
    <mergeCell ref="H12:H14"/>
    <mergeCell ref="H15:H17"/>
    <mergeCell ref="A1:H2"/>
    <mergeCell ref="A4:F4"/>
    <mergeCell ref="A5:B7"/>
    <mergeCell ref="G5:G10"/>
    <mergeCell ref="H6:H7"/>
    <mergeCell ref="H8:H10"/>
  </mergeCells>
  <pageMargins left="0.7" right="0.7" top="0.75" bottom="0.75" header="0.3" footer="0.3"/>
  <pageSetup paperSize="9" scale="8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56"/>
  <sheetViews>
    <sheetView view="pageBreakPreview" topLeftCell="A37" zoomScale="130" zoomScaleNormal="100" zoomScaleSheetLayoutView="130" workbookViewId="0">
      <selection activeCell="N46" sqref="N46:N47"/>
    </sheetView>
  </sheetViews>
  <sheetFormatPr defaultRowHeight="15" x14ac:dyDescent="0.25"/>
  <cols>
    <col min="1" max="1" width="9.140625" style="165"/>
    <col min="3" max="3" width="25.5703125" customWidth="1"/>
    <col min="4" max="4" width="4.85546875" customWidth="1"/>
    <col min="5" max="5" width="14.140625" customWidth="1"/>
    <col min="6" max="6" width="5.28515625" customWidth="1"/>
    <col min="7" max="7" width="12" customWidth="1"/>
  </cols>
  <sheetData>
    <row r="1" spans="1:7" x14ac:dyDescent="0.25">
      <c r="A1" s="398" t="s">
        <v>159</v>
      </c>
      <c r="B1" s="398"/>
      <c r="C1" s="398"/>
      <c r="D1" s="398"/>
      <c r="E1" s="398"/>
      <c r="F1" s="398"/>
      <c r="G1" s="398"/>
    </row>
    <row r="2" spans="1:7" ht="24.75" customHeight="1" x14ac:dyDescent="0.25">
      <c r="A2" s="398"/>
      <c r="B2" s="398"/>
      <c r="C2" s="398"/>
      <c r="D2" s="398"/>
      <c r="E2" s="398"/>
      <c r="F2" s="398"/>
      <c r="G2" s="398"/>
    </row>
    <row r="3" spans="1:7" ht="15.75" thickBot="1" x14ac:dyDescent="0.3">
      <c r="A3" s="140"/>
      <c r="B3" s="140"/>
      <c r="C3" s="54"/>
      <c r="D3" s="137" t="s">
        <v>55</v>
      </c>
      <c r="E3" s="298">
        <f>'Двери EP2018(стандарт)'!I3</f>
        <v>43160</v>
      </c>
      <c r="F3" s="297" t="s">
        <v>147</v>
      </c>
      <c r="G3" s="301">
        <v>43465</v>
      </c>
    </row>
    <row r="4" spans="1:7" ht="15.75" customHeight="1" x14ac:dyDescent="0.25">
      <c r="A4" s="419" t="s">
        <v>133</v>
      </c>
      <c r="B4" s="411"/>
      <c r="C4" s="411"/>
      <c r="D4" s="411"/>
      <c r="E4" s="411"/>
      <c r="F4" s="411"/>
      <c r="G4" s="405" t="s">
        <v>148</v>
      </c>
    </row>
    <row r="5" spans="1:7" ht="15.75" thickBot="1" x14ac:dyDescent="0.3">
      <c r="A5" s="440"/>
      <c r="B5" s="412"/>
      <c r="C5" s="412"/>
      <c r="D5" s="412"/>
      <c r="E5" s="412"/>
      <c r="F5" s="412"/>
      <c r="G5" s="461"/>
    </row>
    <row r="6" spans="1:7" ht="15.75" customHeight="1" x14ac:dyDescent="0.25">
      <c r="A6" s="207" t="s">
        <v>168</v>
      </c>
      <c r="B6" s="187"/>
      <c r="C6" s="188"/>
      <c r="D6" s="189"/>
      <c r="E6" s="186"/>
      <c r="F6" s="186"/>
      <c r="G6" s="186"/>
    </row>
    <row r="7" spans="1:7" x14ac:dyDescent="0.25">
      <c r="A7" s="209" t="s">
        <v>111</v>
      </c>
      <c r="B7" s="194"/>
      <c r="C7" s="1"/>
      <c r="D7" s="1"/>
      <c r="E7" s="1"/>
      <c r="F7" s="198"/>
      <c r="G7" s="442">
        <f>'Двери  EP2018 (расширенная)'!H7:H9</f>
        <v>96000</v>
      </c>
    </row>
    <row r="8" spans="1:7" x14ac:dyDescent="0.25">
      <c r="A8" s="209" t="s">
        <v>112</v>
      </c>
      <c r="B8" s="195"/>
      <c r="C8" s="1"/>
      <c r="D8" s="1"/>
      <c r="E8" s="1"/>
      <c r="F8" s="198"/>
      <c r="G8" s="443"/>
    </row>
    <row r="9" spans="1:7" x14ac:dyDescent="0.25">
      <c r="A9" s="210" t="s">
        <v>113</v>
      </c>
      <c r="B9" s="196"/>
      <c r="C9" s="197"/>
      <c r="D9" s="197"/>
      <c r="E9" s="197"/>
      <c r="F9" s="199"/>
      <c r="G9" s="444"/>
    </row>
    <row r="10" spans="1:7" x14ac:dyDescent="0.25">
      <c r="A10" s="211" t="s">
        <v>1</v>
      </c>
      <c r="B10" s="194"/>
      <c r="C10" s="1"/>
      <c r="D10" s="1"/>
      <c r="E10" s="1"/>
      <c r="F10" s="1"/>
      <c r="G10" s="455">
        <f>'Двери  EP2018 (расширенная)'!H10:H13</f>
        <v>119500</v>
      </c>
    </row>
    <row r="11" spans="1:7" x14ac:dyDescent="0.25">
      <c r="A11" s="209" t="s">
        <v>3</v>
      </c>
      <c r="B11" s="195"/>
      <c r="C11" s="1"/>
      <c r="D11" s="1"/>
      <c r="E11" s="1"/>
      <c r="F11" s="1"/>
      <c r="G11" s="455"/>
    </row>
    <row r="12" spans="1:7" x14ac:dyDescent="0.25">
      <c r="A12" s="209" t="s">
        <v>5</v>
      </c>
      <c r="B12" s="195"/>
      <c r="C12" s="1"/>
      <c r="D12" s="1"/>
      <c r="E12" s="1"/>
      <c r="F12" s="1"/>
      <c r="G12" s="455"/>
    </row>
    <row r="13" spans="1:7" x14ac:dyDescent="0.25">
      <c r="A13" s="376" t="s">
        <v>167</v>
      </c>
      <c r="B13" s="195"/>
      <c r="C13" s="1"/>
      <c r="D13" s="1"/>
      <c r="E13" s="1"/>
      <c r="F13" s="1"/>
      <c r="G13" s="455"/>
    </row>
    <row r="14" spans="1:7" ht="15.75" customHeight="1" x14ac:dyDescent="0.25">
      <c r="A14" s="207" t="s">
        <v>169</v>
      </c>
      <c r="B14" s="187"/>
      <c r="C14" s="188"/>
      <c r="D14" s="189"/>
      <c r="E14" s="186"/>
      <c r="F14" s="186"/>
      <c r="G14" s="274"/>
    </row>
    <row r="15" spans="1:7" x14ac:dyDescent="0.25">
      <c r="A15" s="209" t="s">
        <v>111</v>
      </c>
      <c r="B15" s="194"/>
      <c r="C15" s="1"/>
      <c r="D15" s="1"/>
      <c r="E15" s="1"/>
      <c r="F15" s="198"/>
      <c r="G15" s="442">
        <f>'Двери  EP2018 (расширенная)'!H15:H17</f>
        <v>108000</v>
      </c>
    </row>
    <row r="16" spans="1:7" x14ac:dyDescent="0.25">
      <c r="A16" s="209" t="s">
        <v>112</v>
      </c>
      <c r="B16" s="195"/>
      <c r="C16" s="1"/>
      <c r="D16" s="1"/>
      <c r="E16" s="1"/>
      <c r="F16" s="198"/>
      <c r="G16" s="443"/>
    </row>
    <row r="17" spans="1:7" x14ac:dyDescent="0.25">
      <c r="A17" s="210" t="s">
        <v>113</v>
      </c>
      <c r="B17" s="196"/>
      <c r="C17" s="197"/>
      <c r="D17" s="197"/>
      <c r="E17" s="197"/>
      <c r="F17" s="199"/>
      <c r="G17" s="444"/>
    </row>
    <row r="18" spans="1:7" x14ac:dyDescent="0.25">
      <c r="A18" s="211" t="s">
        <v>1</v>
      </c>
      <c r="B18" s="194"/>
      <c r="C18" s="1"/>
      <c r="D18" s="1"/>
      <c r="E18" s="1"/>
      <c r="F18" s="198"/>
      <c r="G18" s="455">
        <f>'Двери  EP2018 (расширенная)'!H18:H21</f>
        <v>131000</v>
      </c>
    </row>
    <row r="19" spans="1:7" x14ac:dyDescent="0.25">
      <c r="A19" s="209" t="s">
        <v>3</v>
      </c>
      <c r="B19" s="195"/>
      <c r="C19" s="1"/>
      <c r="D19" s="1"/>
      <c r="E19" s="1"/>
      <c r="F19" s="198"/>
      <c r="G19" s="455"/>
    </row>
    <row r="20" spans="1:7" x14ac:dyDescent="0.25">
      <c r="A20" s="209" t="s">
        <v>5</v>
      </c>
      <c r="B20" s="195"/>
      <c r="C20" s="1"/>
      <c r="D20" s="1"/>
      <c r="E20" s="1"/>
      <c r="F20" s="198"/>
      <c r="G20" s="455"/>
    </row>
    <row r="21" spans="1:7" x14ac:dyDescent="0.25">
      <c r="A21" s="376" t="s">
        <v>167</v>
      </c>
      <c r="B21" s="195"/>
      <c r="C21" s="1"/>
      <c r="D21" s="1"/>
      <c r="E21" s="1"/>
      <c r="F21" s="1"/>
      <c r="G21" s="455"/>
    </row>
    <row r="22" spans="1:7" ht="15.75" x14ac:dyDescent="0.25">
      <c r="A22" s="207" t="s">
        <v>100</v>
      </c>
      <c r="B22" s="187"/>
      <c r="C22" s="188"/>
      <c r="D22" s="189"/>
      <c r="E22" s="186"/>
      <c r="F22" s="186"/>
      <c r="G22" s="274"/>
    </row>
    <row r="23" spans="1:7" x14ac:dyDescent="0.25">
      <c r="A23" s="212" t="s">
        <v>101</v>
      </c>
      <c r="B23" s="200"/>
      <c r="C23" s="201"/>
      <c r="D23" s="201"/>
      <c r="E23" s="201"/>
      <c r="F23" s="202"/>
      <c r="G23" s="276">
        <f>'Двери  EP2018 (расширенная)'!H23:H25</f>
        <v>32500</v>
      </c>
    </row>
    <row r="24" spans="1:7" x14ac:dyDescent="0.25">
      <c r="A24" s="214" t="s">
        <v>102</v>
      </c>
      <c r="B24" s="203"/>
      <c r="C24" s="204"/>
      <c r="D24" s="204"/>
      <c r="E24" s="204"/>
      <c r="F24" s="205"/>
      <c r="G24" s="276">
        <f>'Двери  EP2018 (расширенная)'!H24:H26</f>
        <v>42000</v>
      </c>
    </row>
    <row r="25" spans="1:7" ht="15.75" x14ac:dyDescent="0.25">
      <c r="A25" s="207" t="s">
        <v>170</v>
      </c>
      <c r="B25" s="187"/>
      <c r="C25" s="188"/>
      <c r="D25" s="189"/>
      <c r="E25" s="186"/>
      <c r="F25" s="186"/>
      <c r="G25" s="274"/>
    </row>
    <row r="26" spans="1:7" x14ac:dyDescent="0.25">
      <c r="A26" s="215" t="s">
        <v>171</v>
      </c>
      <c r="B26" s="206"/>
      <c r="C26" s="197"/>
      <c r="D26" s="197"/>
      <c r="E26" s="197"/>
      <c r="F26" s="199"/>
      <c r="G26" s="276">
        <f>'Двери  EP2018 (расширенная)'!H26:H28</f>
        <v>3150</v>
      </c>
    </row>
    <row r="27" spans="1:7" ht="15.75" x14ac:dyDescent="0.25">
      <c r="A27" s="207" t="s">
        <v>103</v>
      </c>
      <c r="B27" s="187"/>
      <c r="C27" s="188"/>
      <c r="D27" s="189"/>
      <c r="E27" s="186"/>
      <c r="F27" s="186"/>
      <c r="G27" s="274"/>
    </row>
    <row r="28" spans="1:7" x14ac:dyDescent="0.25">
      <c r="A28" s="215" t="s">
        <v>179</v>
      </c>
      <c r="B28" s="206"/>
      <c r="C28" s="197"/>
      <c r="D28" s="197"/>
      <c r="E28" s="197"/>
      <c r="F28" s="199"/>
      <c r="G28" s="276">
        <f>'Двери  EP2018 (расширенная)'!H28:H30</f>
        <v>8500</v>
      </c>
    </row>
    <row r="29" spans="1:7" x14ac:dyDescent="0.25">
      <c r="A29" s="215" t="s">
        <v>180</v>
      </c>
      <c r="B29" s="206"/>
      <c r="C29" s="197"/>
      <c r="D29" s="197"/>
      <c r="E29" s="197"/>
      <c r="F29" s="199"/>
      <c r="G29" s="276">
        <f>G28</f>
        <v>8500</v>
      </c>
    </row>
    <row r="30" spans="1:7" ht="15.75" x14ac:dyDescent="0.25">
      <c r="A30" s="216" t="s">
        <v>104</v>
      </c>
      <c r="B30" s="191"/>
      <c r="C30" s="192"/>
      <c r="D30" s="193"/>
      <c r="E30" s="190"/>
      <c r="F30" s="190"/>
      <c r="G30" s="274"/>
    </row>
    <row r="31" spans="1:7" x14ac:dyDescent="0.25">
      <c r="A31" s="212" t="s">
        <v>105</v>
      </c>
      <c r="B31" s="200"/>
      <c r="C31" s="201"/>
      <c r="D31" s="201"/>
      <c r="E31" s="201"/>
      <c r="F31" s="202"/>
      <c r="G31" s="276">
        <f>'Двери  EP2018 (расширенная)'!H30</f>
        <v>5900</v>
      </c>
    </row>
    <row r="32" spans="1:7" x14ac:dyDescent="0.25">
      <c r="A32" s="214" t="s">
        <v>106</v>
      </c>
      <c r="B32" s="203"/>
      <c r="C32" s="204"/>
      <c r="D32" s="204"/>
      <c r="E32" s="204"/>
      <c r="F32" s="205"/>
      <c r="G32" s="276">
        <f>'Двери  EP2018 (расширенная)'!H31</f>
        <v>2800</v>
      </c>
    </row>
    <row r="33" spans="1:7" ht="15.75" x14ac:dyDescent="0.25">
      <c r="A33" s="207" t="s">
        <v>114</v>
      </c>
      <c r="B33" s="187"/>
      <c r="C33" s="188"/>
      <c r="D33" s="189"/>
      <c r="E33" s="186"/>
      <c r="F33" s="186"/>
      <c r="G33" s="274"/>
    </row>
    <row r="34" spans="1:7" ht="15.75" x14ac:dyDescent="0.25">
      <c r="A34" s="207" t="s">
        <v>107</v>
      </c>
      <c r="B34" s="187"/>
      <c r="C34" s="188"/>
      <c r="D34" s="189"/>
      <c r="E34" s="186"/>
      <c r="F34" s="186"/>
      <c r="G34" s="274"/>
    </row>
    <row r="35" spans="1:7" x14ac:dyDescent="0.25">
      <c r="A35" s="212" t="s">
        <v>108</v>
      </c>
      <c r="B35" s="200"/>
      <c r="C35" s="201"/>
      <c r="D35" s="201"/>
      <c r="E35" s="462" t="s">
        <v>140</v>
      </c>
      <c r="F35" s="463"/>
      <c r="G35" s="276">
        <f>'Двери  EP2018 (расширенная)'!H34</f>
        <v>48000</v>
      </c>
    </row>
    <row r="36" spans="1:7" x14ac:dyDescent="0.25">
      <c r="A36" s="214" t="s">
        <v>109</v>
      </c>
      <c r="B36" s="203"/>
      <c r="C36" s="204"/>
      <c r="D36" s="204"/>
      <c r="E36" s="464"/>
      <c r="F36" s="465"/>
      <c r="G36" s="276">
        <f>'Двери  EP2018 (расширенная)'!H35</f>
        <v>56000</v>
      </c>
    </row>
    <row r="37" spans="1:7" ht="15.75" x14ac:dyDescent="0.25">
      <c r="A37" s="207" t="s">
        <v>110</v>
      </c>
      <c r="B37" s="187"/>
      <c r="C37" s="188"/>
      <c r="D37" s="189"/>
      <c r="E37" s="186"/>
      <c r="F37" s="186"/>
      <c r="G37" s="274"/>
    </row>
    <row r="38" spans="1:7" x14ac:dyDescent="0.25">
      <c r="A38" s="217" t="s">
        <v>108</v>
      </c>
      <c r="B38" s="201"/>
      <c r="C38" s="201"/>
      <c r="D38" s="201"/>
      <c r="E38" s="432" t="s">
        <v>142</v>
      </c>
      <c r="F38" s="433"/>
      <c r="G38" s="276">
        <f>'Двери  EP2018 (расширенная)'!H37</f>
        <v>57000</v>
      </c>
    </row>
    <row r="39" spans="1:7" x14ac:dyDescent="0.25">
      <c r="A39" s="218" t="s">
        <v>109</v>
      </c>
      <c r="B39" s="204"/>
      <c r="C39" s="204"/>
      <c r="D39" s="204"/>
      <c r="E39" s="434"/>
      <c r="F39" s="435"/>
      <c r="G39" s="276">
        <f>'Двери  EP2018 (расширенная)'!H38</f>
        <v>65000</v>
      </c>
    </row>
    <row r="40" spans="1:7" x14ac:dyDescent="0.25">
      <c r="A40" s="219" t="s">
        <v>108</v>
      </c>
      <c r="B40" s="197"/>
      <c r="C40" s="197"/>
      <c r="D40" s="197"/>
      <c r="E40" s="436" t="s">
        <v>177</v>
      </c>
      <c r="F40" s="437"/>
      <c r="G40" s="276">
        <f>'Двери  EP2018 (расширенная)'!H39</f>
        <v>66000</v>
      </c>
    </row>
    <row r="41" spans="1:7" ht="15.75" thickBot="1" x14ac:dyDescent="0.3">
      <c r="A41" s="220" t="s">
        <v>109</v>
      </c>
      <c r="B41" s="221"/>
      <c r="C41" s="173"/>
      <c r="D41" s="173"/>
      <c r="E41" s="438"/>
      <c r="F41" s="439"/>
      <c r="G41" s="276">
        <f>'Двери  EP2018 (расширенная)'!H40</f>
        <v>74500</v>
      </c>
    </row>
    <row r="42" spans="1:7" ht="15.75" x14ac:dyDescent="0.25">
      <c r="A42" s="207" t="s">
        <v>172</v>
      </c>
      <c r="B42" s="187"/>
      <c r="C42" s="188"/>
      <c r="D42" s="189"/>
      <c r="E42" s="186"/>
      <c r="F42" s="186"/>
      <c r="G42" s="274"/>
    </row>
    <row r="43" spans="1:7" x14ac:dyDescent="0.25">
      <c r="A43" s="212" t="s">
        <v>108</v>
      </c>
      <c r="B43" s="200"/>
      <c r="C43" s="201"/>
      <c r="D43" s="201"/>
      <c r="E43" s="432" t="s">
        <v>174</v>
      </c>
      <c r="F43" s="433"/>
      <c r="G43" s="276">
        <f>'Двери  EP2018 (расширенная)'!H42</f>
        <v>38500</v>
      </c>
    </row>
    <row r="44" spans="1:7" x14ac:dyDescent="0.25">
      <c r="A44" s="214" t="s">
        <v>109</v>
      </c>
      <c r="B44" s="203"/>
      <c r="C44" s="204"/>
      <c r="D44" s="204"/>
      <c r="E44" s="434"/>
      <c r="F44" s="435"/>
      <c r="G44" s="276">
        <f>'Двери  EP2018 (расширенная)'!H43</f>
        <v>46500</v>
      </c>
    </row>
    <row r="45" spans="1:7" x14ac:dyDescent="0.25">
      <c r="A45" s="217" t="s">
        <v>108</v>
      </c>
      <c r="B45" s="201"/>
      <c r="C45" s="201"/>
      <c r="D45" s="201"/>
      <c r="E45" s="432" t="s">
        <v>175</v>
      </c>
      <c r="F45" s="433"/>
      <c r="G45" s="276">
        <f>'Двери  EP2018 (расширенная)'!H44</f>
        <v>46500</v>
      </c>
    </row>
    <row r="46" spans="1:7" x14ac:dyDescent="0.25">
      <c r="A46" s="218" t="s">
        <v>109</v>
      </c>
      <c r="B46" s="204"/>
      <c r="C46" s="204"/>
      <c r="D46" s="204"/>
      <c r="E46" s="434"/>
      <c r="F46" s="435"/>
      <c r="G46" s="276">
        <f>'Двери  EP2018 (расширенная)'!H45</f>
        <v>54500</v>
      </c>
    </row>
    <row r="47" spans="1:7" x14ac:dyDescent="0.25">
      <c r="A47" s="219" t="s">
        <v>108</v>
      </c>
      <c r="B47" s="197"/>
      <c r="C47" s="197"/>
      <c r="D47" s="197"/>
      <c r="E47" s="436" t="s">
        <v>176</v>
      </c>
      <c r="F47" s="437"/>
      <c r="G47" s="276">
        <f>'Двери  EP2018 (расширенная)'!H46</f>
        <v>57000</v>
      </c>
    </row>
    <row r="48" spans="1:7" ht="15.75" thickBot="1" x14ac:dyDescent="0.3">
      <c r="A48" s="220" t="s">
        <v>109</v>
      </c>
      <c r="B48" s="221"/>
      <c r="C48" s="173"/>
      <c r="D48" s="173"/>
      <c r="E48" s="438"/>
      <c r="F48" s="439"/>
      <c r="G48" s="276">
        <f>'Двери  EP2018 (расширенная)'!H47</f>
        <v>65000</v>
      </c>
    </row>
    <row r="49" spans="1:7" s="57" customFormat="1" ht="12.75" customHeight="1" x14ac:dyDescent="0.25">
      <c r="A49" s="327" t="s">
        <v>48</v>
      </c>
      <c r="B49" s="67"/>
      <c r="C49" s="67"/>
      <c r="D49" s="67"/>
      <c r="E49" s="67"/>
      <c r="F49" s="67"/>
      <c r="G49" s="67"/>
    </row>
    <row r="50" spans="1:7" s="57" customFormat="1" ht="12.75" customHeight="1" x14ac:dyDescent="0.25">
      <c r="A50" s="328" t="s">
        <v>157</v>
      </c>
      <c r="B50" s="67"/>
      <c r="C50" s="67"/>
      <c r="D50" s="67"/>
      <c r="E50" s="67"/>
      <c r="F50" s="67"/>
      <c r="G50" s="67"/>
    </row>
    <row r="51" spans="1:7" s="387" customFormat="1" ht="12.75" customHeight="1" x14ac:dyDescent="0.2">
      <c r="A51" s="460" t="s">
        <v>178</v>
      </c>
      <c r="B51" s="460"/>
      <c r="C51" s="460"/>
      <c r="D51" s="460"/>
      <c r="E51" s="460"/>
      <c r="F51" s="460"/>
      <c r="G51" s="460"/>
    </row>
    <row r="52" spans="1:7" s="387" customFormat="1" ht="12.75" customHeight="1" x14ac:dyDescent="0.2">
      <c r="A52" s="460"/>
      <c r="B52" s="460"/>
      <c r="C52" s="460"/>
      <c r="D52" s="460"/>
      <c r="E52" s="460"/>
      <c r="F52" s="460"/>
      <c r="G52" s="460"/>
    </row>
    <row r="53" spans="1:7" s="387" customFormat="1" ht="12.75" customHeight="1" x14ac:dyDescent="0.2">
      <c r="A53" s="389" t="s">
        <v>181</v>
      </c>
      <c r="B53" s="388"/>
      <c r="C53" s="388"/>
      <c r="D53" s="388"/>
      <c r="E53" s="388"/>
      <c r="F53" s="388"/>
      <c r="G53" s="388"/>
    </row>
    <row r="54" spans="1:7" s="387" customFormat="1" ht="12.75" customHeight="1" x14ac:dyDescent="0.2">
      <c r="A54" s="389" t="s">
        <v>182</v>
      </c>
      <c r="C54" s="388"/>
      <c r="D54" s="388"/>
      <c r="E54" s="388"/>
      <c r="F54" s="388"/>
      <c r="G54" s="388"/>
    </row>
    <row r="55" spans="1:7" ht="12.75" customHeight="1" x14ac:dyDescent="0.25">
      <c r="A55" s="389" t="s">
        <v>183</v>
      </c>
      <c r="B55" s="389"/>
      <c r="C55" s="389"/>
      <c r="D55" s="389"/>
      <c r="E55" s="389"/>
      <c r="F55" s="389"/>
      <c r="G55" s="389"/>
    </row>
    <row r="56" spans="1:7" ht="12.75" customHeight="1" x14ac:dyDescent="0.25">
      <c r="A56" s="389" t="s">
        <v>184</v>
      </c>
      <c r="C56" s="389"/>
      <c r="D56" s="389"/>
      <c r="E56" s="389"/>
      <c r="F56" s="389"/>
      <c r="G56" s="389"/>
    </row>
  </sheetData>
  <mergeCells count="14">
    <mergeCell ref="A1:G2"/>
    <mergeCell ref="A4:F5"/>
    <mergeCell ref="G7:G9"/>
    <mergeCell ref="G4:G5"/>
    <mergeCell ref="E35:F36"/>
    <mergeCell ref="G10:G13"/>
    <mergeCell ref="G15:G17"/>
    <mergeCell ref="E45:F46"/>
    <mergeCell ref="E47:F48"/>
    <mergeCell ref="A51:G52"/>
    <mergeCell ref="G18:G21"/>
    <mergeCell ref="E38:F39"/>
    <mergeCell ref="E40:F41"/>
    <mergeCell ref="E43:F44"/>
  </mergeCells>
  <conditionalFormatting sqref="E3">
    <cfRule type="cellIs" dxfId="0" priority="1" operator="equal">
      <formula>"НЕДЕЙСТВИТЕЛЕН"</formula>
    </cfRule>
  </conditionalFormatting>
  <pageMargins left="0.7" right="0.7" top="0.75" bottom="0.75" header="0.3" footer="0.3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P54"/>
  <sheetViews>
    <sheetView view="pageBreakPreview" topLeftCell="A6" zoomScaleNormal="100" zoomScaleSheetLayoutView="100" workbookViewId="0">
      <selection activeCell="R15" sqref="R15"/>
    </sheetView>
  </sheetViews>
  <sheetFormatPr defaultRowHeight="15" x14ac:dyDescent="0.25"/>
  <cols>
    <col min="1" max="1" width="20.140625" bestFit="1" customWidth="1"/>
    <col min="2" max="2" width="2" customWidth="1"/>
    <col min="3" max="4" width="9.140625" customWidth="1"/>
    <col min="5" max="5" width="11.140625" customWidth="1"/>
    <col min="6" max="6" width="8.42578125" hidden="1" customWidth="1"/>
    <col min="7" max="7" width="9.140625" hidden="1" customWidth="1"/>
    <col min="8" max="8" width="10" hidden="1" customWidth="1"/>
    <col min="9" max="9" width="11" hidden="1" customWidth="1"/>
    <col min="10" max="10" width="9.140625" hidden="1" customWidth="1"/>
    <col min="11" max="11" width="2.42578125" style="4" hidden="1" customWidth="1"/>
    <col min="12" max="12" width="10.85546875" bestFit="1" customWidth="1"/>
    <col min="13" max="13" width="10.7109375" bestFit="1" customWidth="1"/>
    <col min="14" max="14" width="10.140625" bestFit="1" customWidth="1"/>
    <col min="15" max="15" width="8.42578125" bestFit="1" customWidth="1"/>
    <col min="16" max="16" width="3.140625" style="4" customWidth="1"/>
  </cols>
  <sheetData>
    <row r="1" spans="1:15" ht="15.75" hidden="1" thickBot="1" x14ac:dyDescent="0.3">
      <c r="A1" s="1"/>
      <c r="B1" s="1"/>
      <c r="C1" s="50"/>
      <c r="D1" s="50"/>
      <c r="E1" s="50"/>
      <c r="F1" s="1"/>
      <c r="G1" s="1"/>
      <c r="H1" s="1"/>
      <c r="I1" s="1"/>
      <c r="J1" s="1"/>
      <c r="K1" s="1"/>
      <c r="L1" s="36" t="s">
        <v>31</v>
      </c>
      <c r="M1" s="37">
        <f>'КУРС ЕВРО'!C2</f>
        <v>69</v>
      </c>
      <c r="N1" s="1"/>
      <c r="O1" s="1"/>
    </row>
    <row r="2" spans="1:15" ht="15.75" hidden="1" customHeight="1" thickBot="1" x14ac:dyDescent="0.3">
      <c r="A2" s="466" t="s">
        <v>27</v>
      </c>
      <c r="B2" s="467"/>
      <c r="C2" s="50"/>
      <c r="D2" s="50"/>
      <c r="E2" s="50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 x14ac:dyDescent="0.3">
      <c r="A3" s="468"/>
      <c r="B3" s="469"/>
      <c r="C3" s="50"/>
      <c r="D3" s="50"/>
      <c r="E3" s="295" t="s">
        <v>16</v>
      </c>
      <c r="F3" s="3" t="s">
        <v>17</v>
      </c>
      <c r="G3" s="470" t="s">
        <v>19</v>
      </c>
      <c r="H3" s="471"/>
      <c r="I3" s="471"/>
      <c r="J3" s="472"/>
      <c r="K3" s="1"/>
      <c r="L3" s="470" t="s">
        <v>19</v>
      </c>
      <c r="M3" s="471"/>
      <c r="N3" s="471"/>
      <c r="O3" s="472"/>
    </row>
    <row r="4" spans="1:15" ht="15.75" thickBot="1" x14ac:dyDescent="0.3">
      <c r="A4" s="5" t="s">
        <v>37</v>
      </c>
      <c r="B4" s="6"/>
      <c r="C4" s="6"/>
      <c r="D4" s="6"/>
      <c r="E4" s="7"/>
      <c r="F4" s="8"/>
      <c r="G4" s="9" t="s">
        <v>20</v>
      </c>
      <c r="H4" s="10" t="s">
        <v>21</v>
      </c>
      <c r="I4" s="10" t="s">
        <v>30</v>
      </c>
      <c r="J4" s="33"/>
      <c r="K4" s="1"/>
      <c r="L4" s="9" t="s">
        <v>20</v>
      </c>
      <c r="M4" s="10" t="s">
        <v>21</v>
      </c>
      <c r="N4" s="10" t="s">
        <v>30</v>
      </c>
      <c r="O4" s="33"/>
    </row>
    <row r="5" spans="1:15" x14ac:dyDescent="0.25">
      <c r="A5" s="12" t="s">
        <v>23</v>
      </c>
      <c r="B5" s="12"/>
      <c r="C5" s="12"/>
      <c r="D5" s="12"/>
      <c r="E5" s="13" t="s">
        <v>0</v>
      </c>
      <c r="F5" s="14">
        <f>'Ворота EP2018'!O8</f>
        <v>397</v>
      </c>
      <c r="G5" s="14">
        <f t="shared" ref="G5:G18" si="0">F5-H5-I5</f>
        <v>294</v>
      </c>
      <c r="H5" s="14">
        <v>93</v>
      </c>
      <c r="I5" s="29">
        <v>10</v>
      </c>
      <c r="J5" s="34"/>
      <c r="L5" s="38">
        <f>ROUND(G5*$M$1,0)</f>
        <v>20286</v>
      </c>
      <c r="M5" s="38">
        <f t="shared" ref="L5:N9" si="1">ROUND(H5*$M$1,0)</f>
        <v>6417</v>
      </c>
      <c r="N5" s="46">
        <f t="shared" si="1"/>
        <v>690</v>
      </c>
      <c r="O5" s="34"/>
    </row>
    <row r="6" spans="1:15" x14ac:dyDescent="0.25">
      <c r="A6" s="16" t="s">
        <v>24</v>
      </c>
      <c r="B6" s="16"/>
      <c r="C6" s="16"/>
      <c r="D6" s="16"/>
      <c r="E6" s="17" t="s">
        <v>2</v>
      </c>
      <c r="F6" s="18">
        <f>'Ворота EP2018'!O9</f>
        <v>403</v>
      </c>
      <c r="G6" s="18">
        <f t="shared" si="0"/>
        <v>297</v>
      </c>
      <c r="H6" s="18">
        <v>96</v>
      </c>
      <c r="I6" s="30">
        <v>10</v>
      </c>
      <c r="J6" s="34"/>
      <c r="L6" s="41">
        <f t="shared" si="1"/>
        <v>20493</v>
      </c>
      <c r="M6" s="41">
        <f t="shared" si="1"/>
        <v>6624</v>
      </c>
      <c r="N6" s="47">
        <f t="shared" si="1"/>
        <v>690</v>
      </c>
      <c r="O6" s="34"/>
    </row>
    <row r="7" spans="1:15" ht="15.75" thickBot="1" x14ac:dyDescent="0.3">
      <c r="A7" s="16" t="s">
        <v>32</v>
      </c>
      <c r="B7" s="16"/>
      <c r="C7" s="16"/>
      <c r="D7" s="16"/>
      <c r="E7" s="20" t="s">
        <v>4</v>
      </c>
      <c r="F7" s="21">
        <f>'Ворота EP2018'!O10</f>
        <v>436</v>
      </c>
      <c r="G7" s="21">
        <f t="shared" si="0"/>
        <v>326</v>
      </c>
      <c r="H7" s="21">
        <v>100</v>
      </c>
      <c r="I7" s="31">
        <v>10</v>
      </c>
      <c r="J7" s="34"/>
      <c r="L7" s="43">
        <f t="shared" si="1"/>
        <v>22494</v>
      </c>
      <c r="M7" s="43">
        <f t="shared" si="1"/>
        <v>6900</v>
      </c>
      <c r="N7" s="48">
        <f t="shared" si="1"/>
        <v>690</v>
      </c>
      <c r="O7" s="34"/>
    </row>
    <row r="8" spans="1:15" x14ac:dyDescent="0.25">
      <c r="A8" s="159" t="s">
        <v>56</v>
      </c>
      <c r="B8" s="16"/>
      <c r="C8" s="16"/>
      <c r="D8" s="16"/>
      <c r="E8" s="23" t="s">
        <v>6</v>
      </c>
      <c r="F8" s="24">
        <f>'Ворота EP2018'!O11</f>
        <v>463</v>
      </c>
      <c r="G8" s="24">
        <f t="shared" si="0"/>
        <v>360</v>
      </c>
      <c r="H8" s="24">
        <f t="shared" ref="H8:H12" si="2">H5</f>
        <v>93</v>
      </c>
      <c r="I8" s="32">
        <v>10</v>
      </c>
      <c r="J8" s="34"/>
      <c r="L8" s="45">
        <f t="shared" si="1"/>
        <v>24840</v>
      </c>
      <c r="M8" s="45">
        <f t="shared" si="1"/>
        <v>6417</v>
      </c>
      <c r="N8" s="49">
        <f t="shared" si="1"/>
        <v>690</v>
      </c>
      <c r="O8" s="34"/>
    </row>
    <row r="9" spans="1:15" x14ac:dyDescent="0.25">
      <c r="A9" s="12" t="s">
        <v>25</v>
      </c>
      <c r="B9" s="16"/>
      <c r="C9" s="16"/>
      <c r="D9" s="16"/>
      <c r="E9" s="17" t="s">
        <v>7</v>
      </c>
      <c r="F9" s="18">
        <f>'Ворота EP2018'!O12</f>
        <v>469</v>
      </c>
      <c r="G9" s="18">
        <f t="shared" si="0"/>
        <v>363</v>
      </c>
      <c r="H9" s="18">
        <f t="shared" si="2"/>
        <v>96</v>
      </c>
      <c r="I9" s="30">
        <v>10</v>
      </c>
      <c r="J9" s="34"/>
      <c r="L9" s="41">
        <f t="shared" si="1"/>
        <v>25047</v>
      </c>
      <c r="M9" s="41">
        <f t="shared" si="1"/>
        <v>6624</v>
      </c>
      <c r="N9" s="47">
        <f t="shared" si="1"/>
        <v>690</v>
      </c>
      <c r="O9" s="34"/>
    </row>
    <row r="10" spans="1:15" ht="15.75" thickBot="1" x14ac:dyDescent="0.3">
      <c r="A10" s="28" t="s">
        <v>26</v>
      </c>
      <c r="B10" s="16"/>
      <c r="C10" s="16"/>
      <c r="D10" s="16"/>
      <c r="E10" s="20" t="s">
        <v>8</v>
      </c>
      <c r="F10" s="21">
        <f>'Ворота EP2018'!O13</f>
        <v>542</v>
      </c>
      <c r="G10" s="21">
        <f t="shared" si="0"/>
        <v>432</v>
      </c>
      <c r="H10" s="21">
        <v>100</v>
      </c>
      <c r="I10" s="31">
        <v>10</v>
      </c>
      <c r="J10" s="34"/>
      <c r="L10" s="43">
        <f t="shared" ref="L10:L18" si="3">ROUND(G10*$M$1,0)</f>
        <v>29808</v>
      </c>
      <c r="M10" s="43">
        <f t="shared" ref="M10:M18" si="4">ROUND(H10*$M$1,0)</f>
        <v>6900</v>
      </c>
      <c r="N10" s="48">
        <f t="shared" ref="N10:N18" si="5">ROUND(I10*$M$1,0)</f>
        <v>690</v>
      </c>
      <c r="O10" s="34"/>
    </row>
    <row r="11" spans="1:15" x14ac:dyDescent="0.25">
      <c r="A11" s="16"/>
      <c r="B11" s="16"/>
      <c r="C11" s="16"/>
      <c r="D11" s="16"/>
      <c r="E11" s="23" t="s">
        <v>9</v>
      </c>
      <c r="F11" s="24">
        <f>'Ворота EP2018'!O14</f>
        <v>492</v>
      </c>
      <c r="G11" s="24">
        <f t="shared" si="0"/>
        <v>389</v>
      </c>
      <c r="H11" s="24">
        <f t="shared" si="2"/>
        <v>93</v>
      </c>
      <c r="I11" s="32">
        <v>10</v>
      </c>
      <c r="J11" s="34"/>
      <c r="L11" s="45">
        <f t="shared" si="3"/>
        <v>26841</v>
      </c>
      <c r="M11" s="45">
        <f t="shared" si="4"/>
        <v>6417</v>
      </c>
      <c r="N11" s="49">
        <f t="shared" si="5"/>
        <v>690</v>
      </c>
      <c r="O11" s="34"/>
    </row>
    <row r="12" spans="1:15" x14ac:dyDescent="0.25">
      <c r="A12" s="16"/>
      <c r="B12" s="16"/>
      <c r="C12" s="16"/>
      <c r="D12" s="16"/>
      <c r="E12" s="17" t="s">
        <v>10</v>
      </c>
      <c r="F12" s="18">
        <f>'Ворота EP2018'!O15</f>
        <v>498</v>
      </c>
      <c r="G12" s="18">
        <f t="shared" si="0"/>
        <v>392</v>
      </c>
      <c r="H12" s="18">
        <f t="shared" si="2"/>
        <v>96</v>
      </c>
      <c r="I12" s="30">
        <v>10</v>
      </c>
      <c r="J12" s="34"/>
      <c r="L12" s="41">
        <f t="shared" si="3"/>
        <v>27048</v>
      </c>
      <c r="M12" s="41">
        <f t="shared" si="4"/>
        <v>6624</v>
      </c>
      <c r="N12" s="47">
        <f t="shared" si="5"/>
        <v>690</v>
      </c>
      <c r="O12" s="34"/>
    </row>
    <row r="13" spans="1:15" x14ac:dyDescent="0.25">
      <c r="A13" s="16"/>
      <c r="B13" s="16"/>
      <c r="C13" s="16"/>
      <c r="D13" s="16"/>
      <c r="E13" s="20" t="s">
        <v>11</v>
      </c>
      <c r="F13" s="281">
        <f>'Ворота EP2018'!O16</f>
        <v>573</v>
      </c>
      <c r="G13" s="18">
        <f t="shared" si="0"/>
        <v>463</v>
      </c>
      <c r="H13" s="281">
        <v>100</v>
      </c>
      <c r="I13" s="282">
        <v>10</v>
      </c>
      <c r="J13" s="34"/>
      <c r="L13" s="284">
        <f>ROUND(G13*$M$1,0)</f>
        <v>31947</v>
      </c>
      <c r="M13" s="284">
        <f t="shared" si="4"/>
        <v>6900</v>
      </c>
      <c r="N13" s="285">
        <f t="shared" si="5"/>
        <v>690</v>
      </c>
      <c r="O13" s="34"/>
    </row>
    <row r="14" spans="1:15" ht="15.75" thickBot="1" x14ac:dyDescent="0.3">
      <c r="A14" s="16"/>
      <c r="B14" s="16"/>
      <c r="C14" s="16"/>
      <c r="D14" s="16"/>
      <c r="E14" s="27" t="s">
        <v>135</v>
      </c>
      <c r="F14" s="21">
        <f>'Ворота EP2018'!O17</f>
        <v>568</v>
      </c>
      <c r="G14" s="21">
        <f t="shared" si="0"/>
        <v>448</v>
      </c>
      <c r="H14" s="21">
        <v>110</v>
      </c>
      <c r="I14" s="31">
        <v>10</v>
      </c>
      <c r="J14" s="34"/>
      <c r="L14" s="43">
        <f t="shared" si="3"/>
        <v>30912</v>
      </c>
      <c r="M14" s="43">
        <f t="shared" si="4"/>
        <v>7590</v>
      </c>
      <c r="N14" s="48">
        <f t="shared" si="5"/>
        <v>690</v>
      </c>
      <c r="O14" s="34"/>
    </row>
    <row r="15" spans="1:15" ht="15.75" thickBot="1" x14ac:dyDescent="0.3">
      <c r="A15" s="16"/>
      <c r="B15" s="16"/>
      <c r="C15" s="16"/>
      <c r="D15" s="16"/>
      <c r="E15" s="27" t="s">
        <v>166</v>
      </c>
      <c r="F15" s="21">
        <f>'Ворота EP2018'!O18</f>
        <v>649</v>
      </c>
      <c r="G15" s="21">
        <f t="shared" ref="G15" si="6">F15-H15-I15</f>
        <v>539</v>
      </c>
      <c r="H15" s="21">
        <v>100</v>
      </c>
      <c r="I15" s="31">
        <v>10</v>
      </c>
      <c r="J15" s="34"/>
      <c r="L15" s="43">
        <f t="shared" ref="L15" si="7">ROUND(G15*$M$1,0)</f>
        <v>37191</v>
      </c>
      <c r="M15" s="43">
        <f t="shared" ref="M15" si="8">ROUND(H15*$M$1,0)</f>
        <v>6900</v>
      </c>
      <c r="N15" s="48">
        <f t="shared" ref="N15" si="9">ROUND(I15*$M$1,0)</f>
        <v>690</v>
      </c>
      <c r="O15" s="34"/>
    </row>
    <row r="16" spans="1:15" x14ac:dyDescent="0.25">
      <c r="A16" s="16"/>
      <c r="B16" s="16"/>
      <c r="C16" s="16"/>
      <c r="D16" s="16"/>
      <c r="E16" s="23" t="s">
        <v>14</v>
      </c>
      <c r="F16" s="24">
        <f>'Ворота EP2018'!O19</f>
        <v>759</v>
      </c>
      <c r="G16" s="24">
        <f t="shared" si="0"/>
        <v>656</v>
      </c>
      <c r="H16" s="24">
        <f>H11</f>
        <v>93</v>
      </c>
      <c r="I16" s="32">
        <v>10</v>
      </c>
      <c r="J16" s="34"/>
      <c r="K16" s="1"/>
      <c r="L16" s="45">
        <f t="shared" si="3"/>
        <v>45264</v>
      </c>
      <c r="M16" s="45">
        <f t="shared" si="4"/>
        <v>6417</v>
      </c>
      <c r="N16" s="49">
        <f t="shared" si="5"/>
        <v>690</v>
      </c>
      <c r="O16" s="34"/>
    </row>
    <row r="17" spans="1:16" x14ac:dyDescent="0.25">
      <c r="A17" s="16"/>
      <c r="B17" s="16"/>
      <c r="C17" s="16"/>
      <c r="D17" s="16"/>
      <c r="E17" s="287" t="s">
        <v>43</v>
      </c>
      <c r="F17" s="288">
        <f>'Ворота EP2018'!O20</f>
        <v>765</v>
      </c>
      <c r="G17" s="18">
        <f t="shared" si="0"/>
        <v>659</v>
      </c>
      <c r="H17" s="288">
        <v>96</v>
      </c>
      <c r="I17" s="289">
        <v>10</v>
      </c>
      <c r="J17" s="34"/>
      <c r="K17" s="1"/>
      <c r="L17" s="291">
        <f t="shared" si="3"/>
        <v>45471</v>
      </c>
      <c r="M17" s="291">
        <f t="shared" si="4"/>
        <v>6624</v>
      </c>
      <c r="N17" s="292">
        <f t="shared" si="5"/>
        <v>690</v>
      </c>
      <c r="O17" s="34"/>
    </row>
    <row r="18" spans="1:16" ht="15.75" thickBot="1" x14ac:dyDescent="0.3">
      <c r="A18" s="26"/>
      <c r="B18" s="26"/>
      <c r="C18" s="26"/>
      <c r="D18" s="26"/>
      <c r="E18" s="27" t="s">
        <v>136</v>
      </c>
      <c r="F18" s="21">
        <f>'Ворота EP2018'!O21</f>
        <v>770</v>
      </c>
      <c r="G18" s="21">
        <f t="shared" si="0"/>
        <v>660</v>
      </c>
      <c r="H18" s="21">
        <v>100</v>
      </c>
      <c r="I18" s="31">
        <v>10</v>
      </c>
      <c r="J18" s="35"/>
      <c r="K18" s="251"/>
      <c r="L18" s="43">
        <f t="shared" si="3"/>
        <v>45540</v>
      </c>
      <c r="M18" s="43">
        <f t="shared" si="4"/>
        <v>6900</v>
      </c>
      <c r="N18" s="48">
        <f t="shared" si="5"/>
        <v>690</v>
      </c>
      <c r="O18" s="35"/>
    </row>
    <row r="19" spans="1:16" ht="15.75" thickBo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L19" s="4"/>
      <c r="M19" s="4"/>
      <c r="N19" s="4"/>
      <c r="O19" s="4"/>
    </row>
    <row r="20" spans="1:16" ht="15.75" hidden="1" thickBot="1" x14ac:dyDescent="0.3">
      <c r="A20" s="466" t="s">
        <v>71</v>
      </c>
      <c r="B20" s="467"/>
      <c r="G20" s="2"/>
      <c r="L20" s="2"/>
    </row>
    <row r="21" spans="1:16" ht="27.75" customHeight="1" thickBot="1" x14ac:dyDescent="0.3">
      <c r="A21" s="468"/>
      <c r="B21" s="469"/>
      <c r="C21" s="4"/>
      <c r="D21" s="4"/>
      <c r="E21" s="295" t="s">
        <v>16</v>
      </c>
      <c r="F21" s="3" t="s">
        <v>17</v>
      </c>
      <c r="G21" s="470" t="s">
        <v>19</v>
      </c>
      <c r="H21" s="471"/>
      <c r="I21" s="471"/>
      <c r="J21" s="473"/>
      <c r="L21" s="474" t="s">
        <v>19</v>
      </c>
      <c r="M21" s="475"/>
      <c r="N21" s="475"/>
      <c r="O21" s="476"/>
      <c r="P21" s="252"/>
    </row>
    <row r="22" spans="1:16" ht="15.75" thickBot="1" x14ac:dyDescent="0.3">
      <c r="A22" s="5" t="s">
        <v>37</v>
      </c>
      <c r="B22" s="6"/>
      <c r="C22" s="6"/>
      <c r="D22" s="6"/>
      <c r="E22" s="7"/>
      <c r="F22" s="8"/>
      <c r="G22" s="9" t="s">
        <v>20</v>
      </c>
      <c r="H22" s="10" t="s">
        <v>21</v>
      </c>
      <c r="I22" s="10" t="s">
        <v>72</v>
      </c>
      <c r="J22" s="11" t="s">
        <v>22</v>
      </c>
      <c r="L22" s="9" t="s">
        <v>20</v>
      </c>
      <c r="M22" s="10" t="s">
        <v>21</v>
      </c>
      <c r="N22" s="10" t="s">
        <v>72</v>
      </c>
      <c r="O22" s="11" t="s">
        <v>22</v>
      </c>
    </row>
    <row r="23" spans="1:16" x14ac:dyDescent="0.25">
      <c r="A23" s="12" t="s">
        <v>23</v>
      </c>
      <c r="B23" s="12"/>
      <c r="C23" s="12"/>
      <c r="D23" s="12"/>
      <c r="E23" s="13" t="s">
        <v>0</v>
      </c>
      <c r="F23" s="14">
        <f>'Ворота EP2018'!R8</f>
        <v>515</v>
      </c>
      <c r="G23" s="14">
        <f t="shared" ref="G23:G35" si="10">F23-H23-I23-J23</f>
        <v>266</v>
      </c>
      <c r="H23" s="14">
        <f t="shared" ref="H23:H32" si="11">H5</f>
        <v>93</v>
      </c>
      <c r="I23" s="14">
        <v>95</v>
      </c>
      <c r="J23" s="15">
        <v>61</v>
      </c>
      <c r="L23" s="38">
        <f t="shared" ref="L23:O30" si="12">ROUND(G23*$M$1,0)</f>
        <v>18354</v>
      </c>
      <c r="M23" s="38">
        <f t="shared" si="12"/>
        <v>6417</v>
      </c>
      <c r="N23" s="46">
        <f t="shared" si="12"/>
        <v>6555</v>
      </c>
      <c r="O23" s="40">
        <f t="shared" si="12"/>
        <v>4209</v>
      </c>
    </row>
    <row r="24" spans="1:16" x14ac:dyDescent="0.25">
      <c r="A24" s="16" t="s">
        <v>24</v>
      </c>
      <c r="B24" s="16"/>
      <c r="C24" s="16"/>
      <c r="D24" s="16"/>
      <c r="E24" s="17" t="s">
        <v>2</v>
      </c>
      <c r="F24" s="18">
        <f>'Ворота EP2018'!R9</f>
        <v>536</v>
      </c>
      <c r="G24" s="18">
        <f t="shared" si="10"/>
        <v>281</v>
      </c>
      <c r="H24" s="18">
        <f t="shared" si="11"/>
        <v>96</v>
      </c>
      <c r="I24" s="18">
        <f t="shared" ref="I24:I30" si="13">I23</f>
        <v>95</v>
      </c>
      <c r="J24" s="19">
        <v>64</v>
      </c>
      <c r="L24" s="41">
        <f t="shared" si="12"/>
        <v>19389</v>
      </c>
      <c r="M24" s="41">
        <f t="shared" si="12"/>
        <v>6624</v>
      </c>
      <c r="N24" s="47">
        <f t="shared" si="12"/>
        <v>6555</v>
      </c>
      <c r="O24" s="42">
        <f t="shared" si="12"/>
        <v>4416</v>
      </c>
    </row>
    <row r="25" spans="1:16" ht="15.75" thickBot="1" x14ac:dyDescent="0.3">
      <c r="A25" s="16" t="s">
        <v>32</v>
      </c>
      <c r="B25" s="16"/>
      <c r="C25" s="16"/>
      <c r="D25" s="16"/>
      <c r="E25" s="20" t="s">
        <v>4</v>
      </c>
      <c r="F25" s="21">
        <f>'Ворота EP2018'!R10</f>
        <v>600</v>
      </c>
      <c r="G25" s="21">
        <f t="shared" si="10"/>
        <v>333</v>
      </c>
      <c r="H25" s="21">
        <f t="shared" si="11"/>
        <v>100</v>
      </c>
      <c r="I25" s="21">
        <f t="shared" si="13"/>
        <v>95</v>
      </c>
      <c r="J25" s="22">
        <v>72</v>
      </c>
      <c r="L25" s="43">
        <f t="shared" si="12"/>
        <v>22977</v>
      </c>
      <c r="M25" s="43">
        <f t="shared" si="12"/>
        <v>6900</v>
      </c>
      <c r="N25" s="48">
        <f t="shared" si="12"/>
        <v>6555</v>
      </c>
      <c r="O25" s="44">
        <f t="shared" si="12"/>
        <v>4968</v>
      </c>
    </row>
    <row r="26" spans="1:16" x14ac:dyDescent="0.25">
      <c r="A26" s="159" t="s">
        <v>56</v>
      </c>
      <c r="B26" s="16"/>
      <c r="C26" s="16"/>
      <c r="D26" s="16"/>
      <c r="E26" s="23" t="s">
        <v>6</v>
      </c>
      <c r="F26" s="24">
        <f>'Ворота EP2018'!R11</f>
        <v>578</v>
      </c>
      <c r="G26" s="24">
        <f t="shared" si="10"/>
        <v>329</v>
      </c>
      <c r="H26" s="24">
        <f t="shared" si="11"/>
        <v>93</v>
      </c>
      <c r="I26" s="24">
        <f t="shared" si="13"/>
        <v>95</v>
      </c>
      <c r="J26" s="25">
        <v>61</v>
      </c>
      <c r="L26" s="45">
        <f t="shared" si="12"/>
        <v>22701</v>
      </c>
      <c r="M26" s="45">
        <f t="shared" si="12"/>
        <v>6417</v>
      </c>
      <c r="N26" s="49">
        <f t="shared" si="12"/>
        <v>6555</v>
      </c>
      <c r="O26" s="39">
        <f t="shared" si="12"/>
        <v>4209</v>
      </c>
    </row>
    <row r="27" spans="1:16" x14ac:dyDescent="0.25">
      <c r="A27" s="12" t="s">
        <v>25</v>
      </c>
      <c r="B27" s="16"/>
      <c r="C27" s="16"/>
      <c r="D27" s="16"/>
      <c r="E27" s="17" t="s">
        <v>7</v>
      </c>
      <c r="F27" s="18">
        <f>'Ворота EP2018'!R12</f>
        <v>599</v>
      </c>
      <c r="G27" s="18">
        <f t="shared" si="10"/>
        <v>344</v>
      </c>
      <c r="H27" s="18">
        <f t="shared" si="11"/>
        <v>96</v>
      </c>
      <c r="I27" s="18">
        <f t="shared" si="13"/>
        <v>95</v>
      </c>
      <c r="J27" s="19">
        <v>64</v>
      </c>
      <c r="L27" s="41">
        <f t="shared" si="12"/>
        <v>23736</v>
      </c>
      <c r="M27" s="41">
        <f t="shared" si="12"/>
        <v>6624</v>
      </c>
      <c r="N27" s="47">
        <f t="shared" si="12"/>
        <v>6555</v>
      </c>
      <c r="O27" s="42">
        <f t="shared" si="12"/>
        <v>4416</v>
      </c>
    </row>
    <row r="28" spans="1:16" ht="15.75" thickBot="1" x14ac:dyDescent="0.3">
      <c r="A28" s="28" t="s">
        <v>26</v>
      </c>
      <c r="B28" s="16"/>
      <c r="C28" s="16"/>
      <c r="D28" s="16"/>
      <c r="E28" s="20" t="s">
        <v>8</v>
      </c>
      <c r="F28" s="21">
        <f>'Ворота EP2018'!R13</f>
        <v>669</v>
      </c>
      <c r="G28" s="21">
        <f t="shared" si="10"/>
        <v>402</v>
      </c>
      <c r="H28" s="21">
        <f t="shared" si="11"/>
        <v>100</v>
      </c>
      <c r="I28" s="21">
        <f t="shared" si="13"/>
        <v>95</v>
      </c>
      <c r="J28" s="22">
        <v>72</v>
      </c>
      <c r="L28" s="43">
        <f t="shared" si="12"/>
        <v>27738</v>
      </c>
      <c r="M28" s="43">
        <f t="shared" si="12"/>
        <v>6900</v>
      </c>
      <c r="N28" s="48">
        <f t="shared" si="12"/>
        <v>6555</v>
      </c>
      <c r="O28" s="44">
        <f t="shared" si="12"/>
        <v>4968</v>
      </c>
    </row>
    <row r="29" spans="1:16" x14ac:dyDescent="0.25">
      <c r="A29" s="16"/>
      <c r="B29" s="16"/>
      <c r="C29" s="16"/>
      <c r="D29" s="16"/>
      <c r="E29" s="23" t="s">
        <v>9</v>
      </c>
      <c r="F29" s="24">
        <f>'Ворота EP2018'!R14</f>
        <v>606</v>
      </c>
      <c r="G29" s="24">
        <f t="shared" si="10"/>
        <v>357</v>
      </c>
      <c r="H29" s="24">
        <f t="shared" si="11"/>
        <v>93</v>
      </c>
      <c r="I29" s="24">
        <f t="shared" si="13"/>
        <v>95</v>
      </c>
      <c r="J29" s="25">
        <v>61</v>
      </c>
      <c r="L29" s="45">
        <f t="shared" si="12"/>
        <v>24633</v>
      </c>
      <c r="M29" s="45">
        <f t="shared" si="12"/>
        <v>6417</v>
      </c>
      <c r="N29" s="49">
        <f t="shared" si="12"/>
        <v>6555</v>
      </c>
      <c r="O29" s="39">
        <f t="shared" si="12"/>
        <v>4209</v>
      </c>
    </row>
    <row r="30" spans="1:16" x14ac:dyDescent="0.25">
      <c r="A30" s="16"/>
      <c r="B30" s="16"/>
      <c r="C30" s="16"/>
      <c r="D30" s="16"/>
      <c r="E30" s="17" t="s">
        <v>10</v>
      </c>
      <c r="F30" s="18">
        <f>'Ворота EP2018'!R15</f>
        <v>627</v>
      </c>
      <c r="G30" s="18">
        <f t="shared" si="10"/>
        <v>372</v>
      </c>
      <c r="H30" s="18">
        <f t="shared" si="11"/>
        <v>96</v>
      </c>
      <c r="I30" s="18">
        <f t="shared" si="13"/>
        <v>95</v>
      </c>
      <c r="J30" s="19">
        <v>64</v>
      </c>
      <c r="L30" s="41">
        <f t="shared" si="12"/>
        <v>25668</v>
      </c>
      <c r="M30" s="41">
        <f t="shared" si="12"/>
        <v>6624</v>
      </c>
      <c r="N30" s="47">
        <f t="shared" si="12"/>
        <v>6555</v>
      </c>
      <c r="O30" s="42">
        <f t="shared" si="12"/>
        <v>4416</v>
      </c>
    </row>
    <row r="31" spans="1:16" x14ac:dyDescent="0.25">
      <c r="A31" s="16"/>
      <c r="B31" s="16"/>
      <c r="C31" s="16"/>
      <c r="D31" s="16"/>
      <c r="E31" s="20" t="s">
        <v>11</v>
      </c>
      <c r="F31" s="281">
        <f>'Ворота EP2018'!R16</f>
        <v>698</v>
      </c>
      <c r="G31" s="281">
        <f t="shared" si="10"/>
        <v>431</v>
      </c>
      <c r="H31" s="281">
        <f t="shared" si="11"/>
        <v>100</v>
      </c>
      <c r="I31" s="282">
        <v>95</v>
      </c>
      <c r="J31" s="283">
        <v>72</v>
      </c>
      <c r="L31" s="284">
        <f t="shared" ref="L31:L35" si="14">ROUND(G31*$M$1,0)</f>
        <v>29739</v>
      </c>
      <c r="M31" s="284">
        <f t="shared" ref="M31:M35" si="15">ROUND(H31*$M$1,0)</f>
        <v>6900</v>
      </c>
      <c r="N31" s="285">
        <f t="shared" ref="N31:N35" si="16">ROUND(I31*$M$1,0)</f>
        <v>6555</v>
      </c>
      <c r="O31" s="286">
        <f t="shared" ref="O31:O35" si="17">ROUND(J31*$M$1,0)</f>
        <v>4968</v>
      </c>
    </row>
    <row r="32" spans="1:16" ht="15.75" thickBot="1" x14ac:dyDescent="0.3">
      <c r="A32" s="16"/>
      <c r="B32" s="16"/>
      <c r="C32" s="16"/>
      <c r="D32" s="16"/>
      <c r="E32" s="27" t="s">
        <v>135</v>
      </c>
      <c r="F32" s="21">
        <f>'Ворота EP2018'!R17</f>
        <v>725</v>
      </c>
      <c r="G32" s="21">
        <f t="shared" si="10"/>
        <v>448</v>
      </c>
      <c r="H32" s="21">
        <f t="shared" si="11"/>
        <v>110</v>
      </c>
      <c r="I32" s="31">
        <f>I30</f>
        <v>95</v>
      </c>
      <c r="J32" s="22">
        <v>72</v>
      </c>
      <c r="L32" s="43">
        <f t="shared" si="14"/>
        <v>30912</v>
      </c>
      <c r="M32" s="43">
        <f t="shared" si="15"/>
        <v>7590</v>
      </c>
      <c r="N32" s="48">
        <f t="shared" si="16"/>
        <v>6555</v>
      </c>
      <c r="O32" s="44">
        <f t="shared" si="17"/>
        <v>4968</v>
      </c>
    </row>
    <row r="33" spans="1:16" ht="15.75" thickBot="1" x14ac:dyDescent="0.3">
      <c r="A33" s="16"/>
      <c r="B33" s="16"/>
      <c r="C33" s="16"/>
      <c r="D33" s="16"/>
      <c r="E33" s="27" t="s">
        <v>166</v>
      </c>
      <c r="F33" s="21">
        <v>771</v>
      </c>
      <c r="G33" s="21">
        <f>F33-H33-I33-J33</f>
        <v>504</v>
      </c>
      <c r="H33" s="21">
        <v>100</v>
      </c>
      <c r="I33" s="31">
        <v>95</v>
      </c>
      <c r="J33" s="34">
        <v>72</v>
      </c>
      <c r="L33" s="43">
        <f>ROUND(G33*$M$1,0)</f>
        <v>34776</v>
      </c>
      <c r="M33" s="43">
        <f t="shared" ref="M33" si="18">ROUND(H33*$M$1,0)</f>
        <v>6900</v>
      </c>
      <c r="N33" s="48">
        <f t="shared" ref="N33" si="19">ROUND(I33*$M$1,0)</f>
        <v>6555</v>
      </c>
      <c r="O33" s="44">
        <f t="shared" ref="O33" si="20">ROUND(J33*$M$1,0)</f>
        <v>4968</v>
      </c>
    </row>
    <row r="34" spans="1:16" x14ac:dyDescent="0.25">
      <c r="A34" s="16"/>
      <c r="B34" s="16"/>
      <c r="C34" s="16"/>
      <c r="D34" s="16"/>
      <c r="E34" s="23" t="s">
        <v>14</v>
      </c>
      <c r="F34" s="24">
        <f>'Ворота EP2018'!R19</f>
        <v>859</v>
      </c>
      <c r="G34" s="24">
        <f t="shared" si="10"/>
        <v>610</v>
      </c>
      <c r="H34" s="24">
        <f>H16</f>
        <v>93</v>
      </c>
      <c r="I34" s="32">
        <f>I32</f>
        <v>95</v>
      </c>
      <c r="J34" s="25">
        <v>61</v>
      </c>
      <c r="K34" s="1"/>
      <c r="L34" s="45">
        <f t="shared" si="14"/>
        <v>42090</v>
      </c>
      <c r="M34" s="45">
        <f t="shared" si="15"/>
        <v>6417</v>
      </c>
      <c r="N34" s="49">
        <f t="shared" si="16"/>
        <v>6555</v>
      </c>
      <c r="O34" s="39">
        <f t="shared" si="17"/>
        <v>4209</v>
      </c>
    </row>
    <row r="35" spans="1:16" ht="15.75" thickBot="1" x14ac:dyDescent="0.3">
      <c r="A35" s="16"/>
      <c r="B35" s="16"/>
      <c r="C35" s="16"/>
      <c r="D35" s="16"/>
      <c r="E35" s="287" t="s">
        <v>43</v>
      </c>
      <c r="F35" s="288">
        <f>'Ворота EP2018'!R20</f>
        <v>865</v>
      </c>
      <c r="G35" s="288">
        <f t="shared" si="10"/>
        <v>613</v>
      </c>
      <c r="H35" s="288">
        <f>H17</f>
        <v>96</v>
      </c>
      <c r="I35" s="289">
        <v>95</v>
      </c>
      <c r="J35" s="290">
        <v>61</v>
      </c>
      <c r="K35" s="1"/>
      <c r="L35" s="43">
        <f t="shared" si="14"/>
        <v>42297</v>
      </c>
      <c r="M35" s="43">
        <f t="shared" si="15"/>
        <v>6624</v>
      </c>
      <c r="N35" s="48">
        <f t="shared" si="16"/>
        <v>6555</v>
      </c>
      <c r="O35" s="44">
        <f t="shared" si="17"/>
        <v>4209</v>
      </c>
    </row>
    <row r="36" spans="1:16" ht="15.75" hidden="1" thickBot="1" x14ac:dyDescent="0.3">
      <c r="A36" s="26"/>
      <c r="B36" s="26"/>
      <c r="C36" s="26"/>
      <c r="D36" s="26"/>
      <c r="E36" s="27" t="s">
        <v>136</v>
      </c>
      <c r="F36" s="21"/>
      <c r="G36" s="21"/>
      <c r="H36" s="21"/>
      <c r="I36" s="31"/>
      <c r="J36" s="22"/>
      <c r="K36" s="1"/>
      <c r="L36" s="294"/>
      <c r="M36" s="294"/>
      <c r="N36" s="294"/>
      <c r="O36" s="294"/>
      <c r="P36" s="1"/>
    </row>
    <row r="37" spans="1:16" ht="15.75" thickBo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L37" s="4"/>
      <c r="M37" s="4"/>
      <c r="N37" s="4"/>
      <c r="O37" s="4"/>
    </row>
    <row r="38" spans="1:16" ht="15.75" hidden="1" customHeight="1" thickBot="1" x14ac:dyDescent="0.3">
      <c r="A38" s="466" t="s">
        <v>28</v>
      </c>
      <c r="B38" s="467"/>
    </row>
    <row r="39" spans="1:16" ht="30.75" customHeight="1" thickBot="1" x14ac:dyDescent="0.3">
      <c r="A39" s="468"/>
      <c r="B39" s="469"/>
      <c r="C39" s="4"/>
      <c r="D39" s="4"/>
      <c r="E39" s="295" t="s">
        <v>16</v>
      </c>
      <c r="F39" s="3" t="s">
        <v>17</v>
      </c>
      <c r="G39" s="470" t="s">
        <v>19</v>
      </c>
      <c r="H39" s="471"/>
      <c r="I39" s="471"/>
      <c r="J39" s="473"/>
      <c r="L39" s="477" t="s">
        <v>19</v>
      </c>
      <c r="M39" s="478"/>
      <c r="N39" s="478"/>
      <c r="O39" s="479"/>
    </row>
    <row r="40" spans="1:16" ht="15.75" thickBot="1" x14ac:dyDescent="0.3">
      <c r="A40" s="5" t="s">
        <v>37</v>
      </c>
      <c r="B40" s="6"/>
      <c r="C40" s="6"/>
      <c r="D40" s="6"/>
      <c r="E40" s="7"/>
      <c r="F40" s="8"/>
      <c r="G40" s="9" t="s">
        <v>20</v>
      </c>
      <c r="H40" s="10" t="s">
        <v>21</v>
      </c>
      <c r="I40" s="10" t="s">
        <v>29</v>
      </c>
      <c r="J40" s="11" t="s">
        <v>22</v>
      </c>
      <c r="L40" s="9" t="s">
        <v>20</v>
      </c>
      <c r="M40" s="10" t="s">
        <v>21</v>
      </c>
      <c r="N40" s="10" t="s">
        <v>29</v>
      </c>
      <c r="O40" s="11" t="s">
        <v>22</v>
      </c>
    </row>
    <row r="41" spans="1:16" x14ac:dyDescent="0.25">
      <c r="A41" s="12" t="s">
        <v>23</v>
      </c>
      <c r="B41" s="12"/>
      <c r="C41" s="12"/>
      <c r="D41" s="12"/>
      <c r="E41" s="13" t="s">
        <v>0</v>
      </c>
      <c r="F41" s="14">
        <f>'Ворота EP2018'!U8</f>
        <v>554</v>
      </c>
      <c r="G41" s="14">
        <f t="shared" ref="G41:G54" si="21">F41-H41-I41-J41</f>
        <v>280</v>
      </c>
      <c r="H41" s="14">
        <f t="shared" ref="H41:H50" si="22">H23</f>
        <v>93</v>
      </c>
      <c r="I41" s="14">
        <v>120</v>
      </c>
      <c r="J41" s="15">
        <v>61</v>
      </c>
      <c r="L41" s="38">
        <f t="shared" ref="L41:O47" si="23">ROUND(G41*$M$1,0)</f>
        <v>19320</v>
      </c>
      <c r="M41" s="38">
        <f t="shared" si="23"/>
        <v>6417</v>
      </c>
      <c r="N41" s="46">
        <f t="shared" si="23"/>
        <v>8280</v>
      </c>
      <c r="O41" s="40">
        <f t="shared" si="23"/>
        <v>4209</v>
      </c>
    </row>
    <row r="42" spans="1:16" x14ac:dyDescent="0.25">
      <c r="A42" s="16" t="s">
        <v>24</v>
      </c>
      <c r="B42" s="16"/>
      <c r="C42" s="16"/>
      <c r="D42" s="16"/>
      <c r="E42" s="17" t="s">
        <v>2</v>
      </c>
      <c r="F42" s="18">
        <f>'Ворота EP2018'!U9</f>
        <v>575</v>
      </c>
      <c r="G42" s="18">
        <f t="shared" si="21"/>
        <v>295</v>
      </c>
      <c r="H42" s="18">
        <f t="shared" si="22"/>
        <v>96</v>
      </c>
      <c r="I42" s="18">
        <f t="shared" ref="I42:I53" si="24">I41</f>
        <v>120</v>
      </c>
      <c r="J42" s="19">
        <v>64</v>
      </c>
      <c r="L42" s="41">
        <f t="shared" si="23"/>
        <v>20355</v>
      </c>
      <c r="M42" s="41">
        <f t="shared" si="23"/>
        <v>6624</v>
      </c>
      <c r="N42" s="47">
        <f t="shared" si="23"/>
        <v>8280</v>
      </c>
      <c r="O42" s="42">
        <f t="shared" si="23"/>
        <v>4416</v>
      </c>
    </row>
    <row r="43" spans="1:16" ht="15.75" thickBot="1" x14ac:dyDescent="0.3">
      <c r="A43" s="16" t="s">
        <v>32</v>
      </c>
      <c r="B43" s="16"/>
      <c r="C43" s="16"/>
      <c r="D43" s="16"/>
      <c r="E43" s="20" t="s">
        <v>4</v>
      </c>
      <c r="F43" s="21">
        <f>'Ворота EP2018'!U10</f>
        <v>638</v>
      </c>
      <c r="G43" s="21">
        <f t="shared" si="21"/>
        <v>346</v>
      </c>
      <c r="H43" s="21">
        <f t="shared" si="22"/>
        <v>100</v>
      </c>
      <c r="I43" s="21">
        <f t="shared" si="24"/>
        <v>120</v>
      </c>
      <c r="J43" s="22">
        <v>72</v>
      </c>
      <c r="L43" s="43">
        <f t="shared" si="23"/>
        <v>23874</v>
      </c>
      <c r="M43" s="43">
        <f t="shared" si="23"/>
        <v>6900</v>
      </c>
      <c r="N43" s="48">
        <f t="shared" si="23"/>
        <v>8280</v>
      </c>
      <c r="O43" s="44">
        <f t="shared" si="23"/>
        <v>4968</v>
      </c>
    </row>
    <row r="44" spans="1:16" x14ac:dyDescent="0.25">
      <c r="A44" s="159" t="s">
        <v>56</v>
      </c>
      <c r="B44" s="16"/>
      <c r="C44" s="16"/>
      <c r="D44" s="16"/>
      <c r="E44" s="23" t="s">
        <v>6</v>
      </c>
      <c r="F44" s="24">
        <f>'Ворота EP2018'!U11</f>
        <v>617</v>
      </c>
      <c r="G44" s="24">
        <f t="shared" si="21"/>
        <v>343</v>
      </c>
      <c r="H44" s="24">
        <f t="shared" si="22"/>
        <v>93</v>
      </c>
      <c r="I44" s="24">
        <f t="shared" si="24"/>
        <v>120</v>
      </c>
      <c r="J44" s="25">
        <v>61</v>
      </c>
      <c r="L44" s="45">
        <f t="shared" si="23"/>
        <v>23667</v>
      </c>
      <c r="M44" s="45">
        <f t="shared" si="23"/>
        <v>6417</v>
      </c>
      <c r="N44" s="49">
        <f t="shared" si="23"/>
        <v>8280</v>
      </c>
      <c r="O44" s="39">
        <f t="shared" si="23"/>
        <v>4209</v>
      </c>
    </row>
    <row r="45" spans="1:16" x14ac:dyDescent="0.25">
      <c r="A45" s="12" t="s">
        <v>25</v>
      </c>
      <c r="B45" s="16"/>
      <c r="C45" s="16"/>
      <c r="D45" s="16"/>
      <c r="E45" s="17" t="s">
        <v>7</v>
      </c>
      <c r="F45" s="18">
        <f>'Ворота EP2018'!U12</f>
        <v>638</v>
      </c>
      <c r="G45" s="18">
        <f t="shared" si="21"/>
        <v>358</v>
      </c>
      <c r="H45" s="18">
        <f t="shared" si="22"/>
        <v>96</v>
      </c>
      <c r="I45" s="18">
        <f t="shared" si="24"/>
        <v>120</v>
      </c>
      <c r="J45" s="19">
        <v>64</v>
      </c>
      <c r="L45" s="41">
        <f t="shared" si="23"/>
        <v>24702</v>
      </c>
      <c r="M45" s="41">
        <f t="shared" si="23"/>
        <v>6624</v>
      </c>
      <c r="N45" s="47">
        <f t="shared" si="23"/>
        <v>8280</v>
      </c>
      <c r="O45" s="42">
        <f t="shared" si="23"/>
        <v>4416</v>
      </c>
    </row>
    <row r="46" spans="1:16" ht="15.75" thickBot="1" x14ac:dyDescent="0.3">
      <c r="A46" s="28" t="s">
        <v>26</v>
      </c>
      <c r="B46" s="16"/>
      <c r="C46" s="16"/>
      <c r="D46" s="16"/>
      <c r="E46" s="20" t="s">
        <v>8</v>
      </c>
      <c r="F46" s="21">
        <f>'Ворота EP2018'!U13</f>
        <v>707</v>
      </c>
      <c r="G46" s="21">
        <f t="shared" si="21"/>
        <v>415</v>
      </c>
      <c r="H46" s="21">
        <f t="shared" si="22"/>
        <v>100</v>
      </c>
      <c r="I46" s="21">
        <f t="shared" si="24"/>
        <v>120</v>
      </c>
      <c r="J46" s="22">
        <v>72</v>
      </c>
      <c r="L46" s="43">
        <f t="shared" si="23"/>
        <v>28635</v>
      </c>
      <c r="M46" s="43">
        <f t="shared" si="23"/>
        <v>6900</v>
      </c>
      <c r="N46" s="48">
        <f t="shared" si="23"/>
        <v>8280</v>
      </c>
      <c r="O46" s="44">
        <f t="shared" si="23"/>
        <v>4968</v>
      </c>
    </row>
    <row r="47" spans="1:16" x14ac:dyDescent="0.25">
      <c r="A47" s="16"/>
      <c r="B47" s="16"/>
      <c r="C47" s="16"/>
      <c r="D47" s="16"/>
      <c r="E47" s="23" t="s">
        <v>9</v>
      </c>
      <c r="F47" s="24">
        <f>'Ворота EP2018'!U14</f>
        <v>644</v>
      </c>
      <c r="G47" s="24">
        <f t="shared" si="21"/>
        <v>370</v>
      </c>
      <c r="H47" s="24">
        <f t="shared" si="22"/>
        <v>93</v>
      </c>
      <c r="I47" s="24">
        <f t="shared" si="24"/>
        <v>120</v>
      </c>
      <c r="J47" s="25">
        <v>61</v>
      </c>
      <c r="L47" s="45">
        <f t="shared" si="23"/>
        <v>25530</v>
      </c>
      <c r="M47" s="45">
        <f t="shared" si="23"/>
        <v>6417</v>
      </c>
      <c r="N47" s="49">
        <f t="shared" si="23"/>
        <v>8280</v>
      </c>
      <c r="O47" s="39">
        <f t="shared" si="23"/>
        <v>4209</v>
      </c>
    </row>
    <row r="48" spans="1:16" x14ac:dyDescent="0.25">
      <c r="A48" s="16"/>
      <c r="B48" s="16"/>
      <c r="C48" s="16"/>
      <c r="D48" s="16"/>
      <c r="E48" s="17" t="s">
        <v>10</v>
      </c>
      <c r="F48" s="18">
        <f>'Ворота EP2018'!U15</f>
        <v>665</v>
      </c>
      <c r="G48" s="18">
        <f t="shared" si="21"/>
        <v>385</v>
      </c>
      <c r="H48" s="18">
        <f t="shared" si="22"/>
        <v>96</v>
      </c>
      <c r="I48" s="18">
        <f t="shared" si="24"/>
        <v>120</v>
      </c>
      <c r="J48" s="19">
        <v>64</v>
      </c>
      <c r="L48" s="41">
        <f t="shared" ref="L48:L54" si="25">ROUND(G48*$M$1,0)</f>
        <v>26565</v>
      </c>
      <c r="M48" s="41">
        <f t="shared" ref="M48:M54" si="26">ROUND(H48*$M$1,0)</f>
        <v>6624</v>
      </c>
      <c r="N48" s="47">
        <f t="shared" ref="N48:N54" si="27">ROUND(I48*$M$1,0)</f>
        <v>8280</v>
      </c>
      <c r="O48" s="42">
        <f t="shared" ref="O48:O54" si="28">ROUND(J48*$M$1,0)</f>
        <v>4416</v>
      </c>
    </row>
    <row r="49" spans="1:15" x14ac:dyDescent="0.25">
      <c r="A49" s="16"/>
      <c r="B49" s="16"/>
      <c r="C49" s="16"/>
      <c r="D49" s="16"/>
      <c r="E49" s="20" t="s">
        <v>11</v>
      </c>
      <c r="F49" s="281">
        <f>'Ворота EP2018'!U16</f>
        <v>736</v>
      </c>
      <c r="G49" s="281">
        <f t="shared" si="21"/>
        <v>444</v>
      </c>
      <c r="H49" s="281">
        <f t="shared" si="22"/>
        <v>100</v>
      </c>
      <c r="I49" s="282">
        <f t="shared" si="24"/>
        <v>120</v>
      </c>
      <c r="J49" s="283">
        <v>72</v>
      </c>
      <c r="L49" s="284">
        <f t="shared" si="25"/>
        <v>30636</v>
      </c>
      <c r="M49" s="284">
        <f t="shared" si="26"/>
        <v>6900</v>
      </c>
      <c r="N49" s="285">
        <f t="shared" si="27"/>
        <v>8280</v>
      </c>
      <c r="O49" s="286">
        <f t="shared" si="28"/>
        <v>4968</v>
      </c>
    </row>
    <row r="50" spans="1:15" ht="15.75" thickBot="1" x14ac:dyDescent="0.3">
      <c r="A50" s="16"/>
      <c r="B50" s="16"/>
      <c r="C50" s="16"/>
      <c r="D50" s="16"/>
      <c r="E50" s="27" t="s">
        <v>135</v>
      </c>
      <c r="F50" s="21">
        <f>'Ворота EP2018'!U17</f>
        <v>764</v>
      </c>
      <c r="G50" s="21">
        <f t="shared" si="21"/>
        <v>462</v>
      </c>
      <c r="H50" s="21">
        <f t="shared" si="22"/>
        <v>110</v>
      </c>
      <c r="I50" s="31">
        <f t="shared" si="24"/>
        <v>120</v>
      </c>
      <c r="J50" s="22">
        <v>72</v>
      </c>
      <c r="L50" s="43">
        <f t="shared" si="25"/>
        <v>31878</v>
      </c>
      <c r="M50" s="43">
        <f t="shared" si="26"/>
        <v>7590</v>
      </c>
      <c r="N50" s="48">
        <f t="shared" si="27"/>
        <v>8280</v>
      </c>
      <c r="O50" s="44">
        <f t="shared" si="28"/>
        <v>4968</v>
      </c>
    </row>
    <row r="51" spans="1:15" ht="15.75" thickBot="1" x14ac:dyDescent="0.3">
      <c r="A51" s="16"/>
      <c r="B51" s="16"/>
      <c r="C51" s="16"/>
      <c r="D51" s="16"/>
      <c r="E51" s="27" t="s">
        <v>166</v>
      </c>
      <c r="F51" s="21">
        <f>'Ворота EP2018'!U18</f>
        <v>810</v>
      </c>
      <c r="G51" s="21">
        <f t="shared" si="21"/>
        <v>518</v>
      </c>
      <c r="H51" s="21">
        <v>100</v>
      </c>
      <c r="I51" s="31">
        <f>I50</f>
        <v>120</v>
      </c>
      <c r="J51" s="22">
        <f>J49</f>
        <v>72</v>
      </c>
      <c r="L51" s="43">
        <f t="shared" ref="L51" si="29">ROUND(G51*$M$1,0)</f>
        <v>35742</v>
      </c>
      <c r="M51" s="43">
        <f t="shared" ref="M51" si="30">ROUND(H51*$M$1,0)</f>
        <v>6900</v>
      </c>
      <c r="N51" s="48">
        <f t="shared" si="27"/>
        <v>8280</v>
      </c>
      <c r="O51" s="392">
        <f t="shared" ref="O51" si="31">ROUND(J51*$M$1,0)</f>
        <v>4968</v>
      </c>
    </row>
    <row r="52" spans="1:15" x14ac:dyDescent="0.25">
      <c r="A52" s="16"/>
      <c r="B52" s="16"/>
      <c r="C52" s="16"/>
      <c r="D52" s="16"/>
      <c r="E52" s="23" t="s">
        <v>14</v>
      </c>
      <c r="F52" s="24">
        <f>'Ворота EP2018'!U19</f>
        <v>898</v>
      </c>
      <c r="G52" s="24">
        <f t="shared" si="21"/>
        <v>624</v>
      </c>
      <c r="H52" s="24">
        <f>H34</f>
        <v>93</v>
      </c>
      <c r="I52" s="32">
        <f>I50</f>
        <v>120</v>
      </c>
      <c r="J52" s="25">
        <v>61</v>
      </c>
      <c r="K52" s="1"/>
      <c r="L52" s="45">
        <f t="shared" si="25"/>
        <v>43056</v>
      </c>
      <c r="M52" s="45">
        <f t="shared" si="26"/>
        <v>6417</v>
      </c>
      <c r="N52" s="49">
        <f t="shared" si="27"/>
        <v>8280</v>
      </c>
      <c r="O52" s="39">
        <f t="shared" si="28"/>
        <v>4209</v>
      </c>
    </row>
    <row r="53" spans="1:15" x14ac:dyDescent="0.25">
      <c r="A53" s="16"/>
      <c r="B53" s="16"/>
      <c r="C53" s="16"/>
      <c r="D53" s="16"/>
      <c r="E53" s="287" t="s">
        <v>43</v>
      </c>
      <c r="F53" s="288">
        <f>'Ворота EP2018'!U20</f>
        <v>904</v>
      </c>
      <c r="G53" s="288">
        <f t="shared" si="21"/>
        <v>627</v>
      </c>
      <c r="H53" s="288">
        <f>H35</f>
        <v>96</v>
      </c>
      <c r="I53" s="289">
        <f t="shared" si="24"/>
        <v>120</v>
      </c>
      <c r="J53" s="290">
        <v>61</v>
      </c>
      <c r="K53" s="1"/>
      <c r="L53" s="291">
        <f t="shared" si="25"/>
        <v>43263</v>
      </c>
      <c r="M53" s="291">
        <f t="shared" si="26"/>
        <v>6624</v>
      </c>
      <c r="N53" s="292">
        <f t="shared" si="27"/>
        <v>8280</v>
      </c>
      <c r="O53" s="293">
        <f t="shared" si="28"/>
        <v>4209</v>
      </c>
    </row>
    <row r="54" spans="1:15" ht="15.75" thickBot="1" x14ac:dyDescent="0.3">
      <c r="A54" s="26"/>
      <c r="B54" s="26"/>
      <c r="C54" s="26"/>
      <c r="D54" s="26"/>
      <c r="E54" s="27" t="s">
        <v>136</v>
      </c>
      <c r="F54" s="21">
        <f>'Ворота EP2018'!U21</f>
        <v>1030</v>
      </c>
      <c r="G54" s="21">
        <f t="shared" si="21"/>
        <v>713</v>
      </c>
      <c r="H54" s="21">
        <v>100</v>
      </c>
      <c r="I54" s="31">
        <v>153</v>
      </c>
      <c r="J54" s="22">
        <v>64</v>
      </c>
      <c r="K54" s="223"/>
      <c r="L54" s="43">
        <f t="shared" si="25"/>
        <v>49197</v>
      </c>
      <c r="M54" s="43">
        <f t="shared" si="26"/>
        <v>6900</v>
      </c>
      <c r="N54" s="324">
        <f t="shared" si="27"/>
        <v>10557</v>
      </c>
      <c r="O54" s="44">
        <f t="shared" si="28"/>
        <v>4416</v>
      </c>
    </row>
  </sheetData>
  <mergeCells count="9">
    <mergeCell ref="A38:B39"/>
    <mergeCell ref="G39:J39"/>
    <mergeCell ref="L39:O39"/>
    <mergeCell ref="A2:B3"/>
    <mergeCell ref="G3:J3"/>
    <mergeCell ref="L3:O3"/>
    <mergeCell ref="A20:B21"/>
    <mergeCell ref="G21:J21"/>
    <mergeCell ref="L21:O21"/>
  </mergeCells>
  <pageMargins left="0.25" right="0.25" top="0.75" bottom="0.75" header="0.3" footer="0.3"/>
  <pageSetup paperSize="9" scale="95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B62"/>
  <sheetViews>
    <sheetView topLeftCell="A19" zoomScaleNormal="100" zoomScaleSheetLayoutView="145" workbookViewId="0">
      <selection activeCell="P24" sqref="P24"/>
    </sheetView>
  </sheetViews>
  <sheetFormatPr defaultRowHeight="15" x14ac:dyDescent="0.25"/>
  <cols>
    <col min="1" max="1" width="12.28515625" style="160" bestFit="1" customWidth="1"/>
    <col min="2" max="2" width="8.5703125" bestFit="1" customWidth="1"/>
    <col min="3" max="3" width="3.5703125" customWidth="1"/>
    <col min="4" max="4" width="5" hidden="1" customWidth="1"/>
    <col min="5" max="5" width="2" hidden="1" customWidth="1"/>
    <col min="6" max="6" width="5" style="162" hidden="1" customWidth="1"/>
    <col min="7" max="7" width="2.42578125" style="162" hidden="1" customWidth="1"/>
    <col min="8" max="9" width="9.85546875" style="162" hidden="1" customWidth="1"/>
    <col min="10" max="10" width="9.85546875" hidden="1" customWidth="1"/>
    <col min="11" max="11" width="13" style="162" hidden="1" customWidth="1"/>
    <col min="12" max="12" width="12.7109375" style="162" hidden="1" customWidth="1"/>
    <col min="13" max="13" width="2.140625" hidden="1" customWidth="1"/>
    <col min="14" max="14" width="8.28515625" bestFit="1" customWidth="1"/>
    <col min="16" max="16" width="7.42578125" bestFit="1" customWidth="1"/>
    <col min="17" max="17" width="12.28515625" bestFit="1" customWidth="1"/>
    <col min="18" max="18" width="10.42578125" bestFit="1" customWidth="1"/>
    <col min="19" max="19" width="4.7109375" customWidth="1"/>
    <col min="20" max="20" width="8.85546875" customWidth="1"/>
    <col min="21" max="21" width="2" bestFit="1" customWidth="1"/>
    <col min="22" max="22" width="8.85546875" customWidth="1"/>
    <col min="23" max="23" width="2.42578125" bestFit="1" customWidth="1"/>
    <col min="24" max="25" width="9.7109375" style="337" bestFit="1" customWidth="1"/>
    <col min="26" max="26" width="9.7109375" style="337" hidden="1" customWidth="1"/>
    <col min="27" max="28" width="9.7109375" style="342" customWidth="1"/>
  </cols>
  <sheetData>
    <row r="1" spans="1:28" ht="24" thickBot="1" x14ac:dyDescent="0.4">
      <c r="A1" s="482" t="s">
        <v>73</v>
      </c>
      <c r="B1" s="483"/>
      <c r="C1" s="4"/>
      <c r="D1" s="480" t="s">
        <v>115</v>
      </c>
      <c r="E1" s="481"/>
      <c r="F1" s="481"/>
      <c r="G1" s="311"/>
      <c r="H1" s="182" t="s">
        <v>92</v>
      </c>
      <c r="I1" s="182" t="s">
        <v>93</v>
      </c>
      <c r="J1" s="182" t="s">
        <v>94</v>
      </c>
      <c r="K1" s="182" t="s">
        <v>90</v>
      </c>
      <c r="L1" s="183" t="s">
        <v>91</v>
      </c>
      <c r="M1" s="4"/>
      <c r="N1" s="181" t="s">
        <v>116</v>
      </c>
      <c r="O1" s="182"/>
      <c r="P1" s="182"/>
      <c r="Q1" s="182"/>
      <c r="R1" s="183"/>
      <c r="T1" s="334" t="s">
        <v>161</v>
      </c>
      <c r="U1" s="4"/>
      <c r="V1" s="163"/>
      <c r="W1" s="163"/>
      <c r="X1" s="335"/>
      <c r="Y1" s="161"/>
      <c r="Z1" s="336"/>
      <c r="AA1" s="339"/>
      <c r="AB1" s="340"/>
    </row>
    <row r="2" spans="1:28" ht="30.75" thickBot="1" x14ac:dyDescent="0.3">
      <c r="A2" s="351" t="s">
        <v>74</v>
      </c>
      <c r="B2" s="350">
        <v>3053104</v>
      </c>
      <c r="C2" s="4"/>
      <c r="D2" s="167">
        <v>2500</v>
      </c>
      <c r="E2" s="161" t="s">
        <v>88</v>
      </c>
      <c r="F2" s="161">
        <v>2125</v>
      </c>
      <c r="G2" s="312" t="s">
        <v>87</v>
      </c>
      <c r="H2" s="168">
        <v>4015063</v>
      </c>
      <c r="I2" s="168">
        <v>4015039</v>
      </c>
      <c r="J2" s="1">
        <v>4015051</v>
      </c>
      <c r="K2" s="161">
        <v>4015075</v>
      </c>
      <c r="L2" s="169">
        <v>4015087</v>
      </c>
      <c r="M2" s="4"/>
      <c r="N2" s="225" t="s">
        <v>152</v>
      </c>
      <c r="O2" s="226"/>
      <c r="P2" s="226"/>
      <c r="Q2" s="226"/>
      <c r="R2" s="227"/>
      <c r="T2" s="480" t="s">
        <v>115</v>
      </c>
      <c r="U2" s="481"/>
      <c r="V2" s="481"/>
      <c r="W2" s="311"/>
      <c r="X2" s="331" t="s">
        <v>92</v>
      </c>
      <c r="Y2" s="331" t="s">
        <v>93</v>
      </c>
      <c r="Z2" s="331" t="s">
        <v>94</v>
      </c>
      <c r="AA2" s="341" t="s">
        <v>90</v>
      </c>
      <c r="AB2" s="330" t="s">
        <v>91</v>
      </c>
    </row>
    <row r="3" spans="1:28" x14ac:dyDescent="0.25">
      <c r="A3" s="175" t="s">
        <v>76</v>
      </c>
      <c r="B3" s="176">
        <v>3053103</v>
      </c>
      <c r="C3" s="4"/>
      <c r="D3" s="167">
        <v>2500</v>
      </c>
      <c r="E3" s="161" t="s">
        <v>88</v>
      </c>
      <c r="F3" s="161">
        <v>2250</v>
      </c>
      <c r="G3" s="312" t="s">
        <v>87</v>
      </c>
      <c r="H3" s="168">
        <v>4015067</v>
      </c>
      <c r="I3" s="168">
        <v>4015043</v>
      </c>
      <c r="J3" s="1">
        <v>4015055</v>
      </c>
      <c r="K3" s="161">
        <v>4015079</v>
      </c>
      <c r="L3" s="169">
        <v>4015091</v>
      </c>
      <c r="M3" s="4"/>
      <c r="N3" s="315">
        <v>344516</v>
      </c>
      <c r="O3" s="1" t="s">
        <v>117</v>
      </c>
      <c r="P3" s="1" t="s">
        <v>118</v>
      </c>
      <c r="Q3" s="1" t="s">
        <v>91</v>
      </c>
      <c r="R3" s="223" t="s">
        <v>119</v>
      </c>
      <c r="T3" s="345">
        <v>2500</v>
      </c>
      <c r="U3" s="346" t="s">
        <v>88</v>
      </c>
      <c r="V3" s="346">
        <v>2125</v>
      </c>
      <c r="W3" s="347" t="s">
        <v>87</v>
      </c>
      <c r="X3" s="348">
        <v>53227</v>
      </c>
      <c r="Y3" s="348">
        <v>53214</v>
      </c>
      <c r="Z3" s="348"/>
      <c r="AA3" s="362">
        <v>53240</v>
      </c>
      <c r="AB3" s="358">
        <v>53253</v>
      </c>
    </row>
    <row r="4" spans="1:28" ht="15.75" thickBot="1" x14ac:dyDescent="0.3">
      <c r="A4" s="175" t="s">
        <v>75</v>
      </c>
      <c r="B4" s="176">
        <v>3053101</v>
      </c>
      <c r="C4" s="4"/>
      <c r="D4" s="306">
        <v>2500</v>
      </c>
      <c r="E4" s="307" t="s">
        <v>88</v>
      </c>
      <c r="F4" s="307">
        <v>2500</v>
      </c>
      <c r="G4" s="313" t="s">
        <v>87</v>
      </c>
      <c r="H4" s="308">
        <v>4015165</v>
      </c>
      <c r="I4" s="308">
        <v>4015163</v>
      </c>
      <c r="J4" s="309">
        <v>4015164</v>
      </c>
      <c r="K4" s="307">
        <v>4015166</v>
      </c>
      <c r="L4" s="310">
        <v>4015167</v>
      </c>
      <c r="M4" s="4"/>
      <c r="N4" s="315">
        <v>344517</v>
      </c>
      <c r="O4" s="1" t="s">
        <v>117</v>
      </c>
      <c r="P4" s="1" t="s">
        <v>120</v>
      </c>
      <c r="Q4" s="1" t="s">
        <v>91</v>
      </c>
      <c r="R4" s="223" t="s">
        <v>119</v>
      </c>
      <c r="T4" s="167">
        <v>2500</v>
      </c>
      <c r="U4" s="161" t="s">
        <v>88</v>
      </c>
      <c r="V4" s="161">
        <v>2250</v>
      </c>
      <c r="W4" s="312" t="s">
        <v>87</v>
      </c>
      <c r="X4" s="349">
        <v>53228</v>
      </c>
      <c r="Y4" s="349">
        <v>53215</v>
      </c>
      <c r="Z4" s="349"/>
      <c r="AA4" s="363">
        <v>53241</v>
      </c>
      <c r="AB4" s="359">
        <v>53254</v>
      </c>
    </row>
    <row r="5" spans="1:28" ht="15.75" thickBot="1" x14ac:dyDescent="0.3">
      <c r="A5" s="482" t="s">
        <v>77</v>
      </c>
      <c r="B5" s="483"/>
      <c r="C5" s="4"/>
      <c r="D5" s="167">
        <v>2750</v>
      </c>
      <c r="E5" s="161" t="s">
        <v>88</v>
      </c>
      <c r="F5" s="161">
        <v>2125</v>
      </c>
      <c r="G5" s="312" t="s">
        <v>87</v>
      </c>
      <c r="H5" s="168">
        <v>4015064</v>
      </c>
      <c r="I5" s="168">
        <v>4015040</v>
      </c>
      <c r="J5" s="1">
        <v>4015052</v>
      </c>
      <c r="K5" s="161">
        <v>4015076</v>
      </c>
      <c r="L5" s="169">
        <v>4015088</v>
      </c>
      <c r="M5" s="4"/>
      <c r="N5" s="225" t="s">
        <v>153</v>
      </c>
      <c r="O5" s="226"/>
      <c r="P5" s="226"/>
      <c r="Q5" s="226"/>
      <c r="R5" s="227"/>
      <c r="T5" s="306">
        <v>2500</v>
      </c>
      <c r="U5" s="307" t="s">
        <v>88</v>
      </c>
      <c r="V5" s="307">
        <v>2500</v>
      </c>
      <c r="W5" s="313" t="s">
        <v>87</v>
      </c>
      <c r="X5" s="364">
        <v>53229</v>
      </c>
      <c r="Y5" s="365">
        <v>53216</v>
      </c>
      <c r="Z5" s="365"/>
      <c r="AA5" s="366">
        <v>53242</v>
      </c>
      <c r="AB5" s="360">
        <v>53255</v>
      </c>
    </row>
    <row r="6" spans="1:28" x14ac:dyDescent="0.25">
      <c r="A6" s="303" t="s">
        <v>74</v>
      </c>
      <c r="B6" s="321">
        <v>3047467</v>
      </c>
      <c r="C6" s="4"/>
      <c r="D6" s="167">
        <v>2750</v>
      </c>
      <c r="E6" s="161" t="s">
        <v>88</v>
      </c>
      <c r="F6" s="161">
        <v>2250</v>
      </c>
      <c r="G6" s="312" t="s">
        <v>87</v>
      </c>
      <c r="H6" s="168">
        <v>4015068</v>
      </c>
      <c r="I6" s="168">
        <v>4015044</v>
      </c>
      <c r="J6" s="1">
        <v>4015056</v>
      </c>
      <c r="K6" s="161">
        <v>4015080</v>
      </c>
      <c r="L6" s="169">
        <v>4015092</v>
      </c>
      <c r="M6" s="4"/>
      <c r="N6" s="315">
        <v>344518</v>
      </c>
      <c r="O6" s="1" t="s">
        <v>121</v>
      </c>
      <c r="P6" s="1" t="s">
        <v>118</v>
      </c>
      <c r="Q6" s="1" t="s">
        <v>91</v>
      </c>
      <c r="R6" s="223" t="s">
        <v>119</v>
      </c>
      <c r="T6" s="167">
        <v>2750</v>
      </c>
      <c r="U6" s="161" t="s">
        <v>88</v>
      </c>
      <c r="V6" s="161">
        <v>2125</v>
      </c>
      <c r="W6" s="312" t="s">
        <v>87</v>
      </c>
      <c r="X6" s="349">
        <v>53230</v>
      </c>
      <c r="Y6" s="349">
        <v>53217</v>
      </c>
      <c r="Z6" s="349"/>
      <c r="AA6" s="363">
        <v>53243</v>
      </c>
      <c r="AB6" s="359">
        <v>53256</v>
      </c>
    </row>
    <row r="7" spans="1:28" ht="15" customHeight="1" thickBot="1" x14ac:dyDescent="0.3">
      <c r="A7" s="177" t="s">
        <v>76</v>
      </c>
      <c r="B7" s="178">
        <v>3047466</v>
      </c>
      <c r="C7" s="4"/>
      <c r="D7" s="306">
        <v>2750</v>
      </c>
      <c r="E7" s="307" t="s">
        <v>88</v>
      </c>
      <c r="F7" s="307">
        <v>2500</v>
      </c>
      <c r="G7" s="313" t="s">
        <v>87</v>
      </c>
      <c r="H7" s="308">
        <v>4015539</v>
      </c>
      <c r="I7" s="308">
        <v>4015535</v>
      </c>
      <c r="J7" s="309">
        <v>4015537</v>
      </c>
      <c r="K7" s="307">
        <v>4015541</v>
      </c>
      <c r="L7" s="310">
        <v>4015543</v>
      </c>
      <c r="M7" s="4"/>
      <c r="N7" s="316">
        <v>344519</v>
      </c>
      <c r="O7" s="173" t="s">
        <v>121</v>
      </c>
      <c r="P7" s="173" t="s">
        <v>120</v>
      </c>
      <c r="Q7" s="173" t="s">
        <v>91</v>
      </c>
      <c r="R7" s="224" t="s">
        <v>119</v>
      </c>
      <c r="T7" s="167">
        <v>2750</v>
      </c>
      <c r="U7" s="161" t="s">
        <v>88</v>
      </c>
      <c r="V7" s="161">
        <v>2250</v>
      </c>
      <c r="W7" s="312" t="s">
        <v>87</v>
      </c>
      <c r="X7" s="349">
        <v>53231</v>
      </c>
      <c r="Y7" s="349">
        <v>53218</v>
      </c>
      <c r="Z7" s="349"/>
      <c r="AA7" s="363">
        <v>53244</v>
      </c>
      <c r="AB7" s="359">
        <v>53257</v>
      </c>
    </row>
    <row r="8" spans="1:28" x14ac:dyDescent="0.25">
      <c r="A8" s="175" t="s">
        <v>75</v>
      </c>
      <c r="B8" s="176">
        <v>3047464</v>
      </c>
      <c r="C8" s="4"/>
      <c r="D8" s="167">
        <v>3000</v>
      </c>
      <c r="E8" s="161" t="s">
        <v>88</v>
      </c>
      <c r="F8" s="161">
        <v>2125</v>
      </c>
      <c r="G8" s="312" t="s">
        <v>87</v>
      </c>
      <c r="H8" s="168">
        <v>4015065</v>
      </c>
      <c r="I8" s="168">
        <v>4015041</v>
      </c>
      <c r="J8" s="1">
        <v>4015053</v>
      </c>
      <c r="K8" s="161">
        <v>4015077</v>
      </c>
      <c r="L8" s="169">
        <v>4015089</v>
      </c>
      <c r="M8" s="4"/>
      <c r="N8" s="4"/>
      <c r="O8" s="4"/>
      <c r="P8" s="4"/>
      <c r="Q8" s="4"/>
      <c r="R8" s="4"/>
      <c r="T8" s="306">
        <v>2750</v>
      </c>
      <c r="U8" s="307" t="s">
        <v>88</v>
      </c>
      <c r="V8" s="307">
        <v>2500</v>
      </c>
      <c r="W8" s="313" t="s">
        <v>87</v>
      </c>
      <c r="X8" s="364">
        <v>53232</v>
      </c>
      <c r="Y8" s="365">
        <v>53219</v>
      </c>
      <c r="Z8" s="365"/>
      <c r="AA8" s="366">
        <v>53245</v>
      </c>
      <c r="AB8" s="360">
        <v>53258</v>
      </c>
    </row>
    <row r="9" spans="1:28" ht="15.75" thickBot="1" x14ac:dyDescent="0.3">
      <c r="A9" s="304" t="s">
        <v>150</v>
      </c>
      <c r="B9" s="305">
        <v>3047460</v>
      </c>
      <c r="C9" s="4"/>
      <c r="D9" s="167">
        <v>3000</v>
      </c>
      <c r="E9" s="161" t="s">
        <v>88</v>
      </c>
      <c r="F9" s="161">
        <v>2250</v>
      </c>
      <c r="G9" s="312" t="s">
        <v>87</v>
      </c>
      <c r="H9" s="168">
        <v>4015069</v>
      </c>
      <c r="I9" s="168">
        <v>4015045</v>
      </c>
      <c r="J9" s="1">
        <v>4015057</v>
      </c>
      <c r="K9" s="161">
        <v>4015081</v>
      </c>
      <c r="L9" s="169">
        <v>4015093</v>
      </c>
      <c r="M9" s="4"/>
      <c r="N9" s="4"/>
      <c r="O9" s="4"/>
      <c r="P9" s="235"/>
      <c r="Q9" s="4"/>
      <c r="R9" s="4"/>
      <c r="T9" s="167">
        <v>3000</v>
      </c>
      <c r="U9" s="161" t="s">
        <v>88</v>
      </c>
      <c r="V9" s="161">
        <v>2125</v>
      </c>
      <c r="W9" s="312" t="s">
        <v>87</v>
      </c>
      <c r="X9" s="349">
        <v>53233</v>
      </c>
      <c r="Y9" s="349">
        <v>53220</v>
      </c>
      <c r="Z9" s="349"/>
      <c r="AA9" s="363">
        <v>53246</v>
      </c>
      <c r="AB9" s="359">
        <v>53259</v>
      </c>
    </row>
    <row r="10" spans="1:28" ht="15.75" thickBot="1" x14ac:dyDescent="0.3">
      <c r="A10" s="482" t="s">
        <v>78</v>
      </c>
      <c r="B10" s="483"/>
      <c r="C10" s="4"/>
      <c r="D10" s="167">
        <v>3000</v>
      </c>
      <c r="E10" s="161" t="s">
        <v>88</v>
      </c>
      <c r="F10" s="161">
        <v>2500</v>
      </c>
      <c r="G10" s="312" t="s">
        <v>87</v>
      </c>
      <c r="H10" s="168">
        <v>4015540</v>
      </c>
      <c r="I10" s="168">
        <v>4015536</v>
      </c>
      <c r="J10" s="1">
        <v>4015538</v>
      </c>
      <c r="K10" s="161">
        <v>4015542</v>
      </c>
      <c r="L10" s="169">
        <v>4015544</v>
      </c>
      <c r="M10" s="4"/>
      <c r="T10" s="167">
        <v>3000</v>
      </c>
      <c r="U10" s="161" t="s">
        <v>88</v>
      </c>
      <c r="V10" s="161">
        <v>2250</v>
      </c>
      <c r="W10" s="312" t="s">
        <v>87</v>
      </c>
      <c r="X10" s="349">
        <v>53234</v>
      </c>
      <c r="Y10" s="349">
        <v>53221</v>
      </c>
      <c r="Z10" s="349"/>
      <c r="AA10" s="363">
        <v>53247</v>
      </c>
      <c r="AB10" s="359">
        <v>53260</v>
      </c>
    </row>
    <row r="11" spans="1:28" ht="15.75" thickBot="1" x14ac:dyDescent="0.3">
      <c r="A11" s="175" t="s">
        <v>79</v>
      </c>
      <c r="B11" s="302">
        <v>4015100</v>
      </c>
      <c r="C11" s="4"/>
      <c r="D11" s="306">
        <v>3000</v>
      </c>
      <c r="E11" s="307" t="s">
        <v>88</v>
      </c>
      <c r="F11" s="307">
        <v>3000</v>
      </c>
      <c r="G11" s="313" t="s">
        <v>89</v>
      </c>
      <c r="H11" s="308">
        <v>4015273</v>
      </c>
      <c r="I11" s="308">
        <v>4015267</v>
      </c>
      <c r="J11" s="309">
        <v>4015270</v>
      </c>
      <c r="K11" s="329">
        <v>4015276</v>
      </c>
      <c r="L11" s="310">
        <v>4015279</v>
      </c>
      <c r="M11" s="4"/>
      <c r="T11" s="167">
        <v>3000</v>
      </c>
      <c r="U11" s="161" t="s">
        <v>88</v>
      </c>
      <c r="V11" s="161">
        <v>2500</v>
      </c>
      <c r="W11" s="312" t="s">
        <v>87</v>
      </c>
      <c r="X11" s="349">
        <v>53235</v>
      </c>
      <c r="Y11" s="349">
        <v>53222</v>
      </c>
      <c r="Z11" s="349"/>
      <c r="AA11" s="363">
        <v>53248</v>
      </c>
      <c r="AB11" s="359">
        <v>53261</v>
      </c>
    </row>
    <row r="12" spans="1:28" ht="15.75" thickBot="1" x14ac:dyDescent="0.3">
      <c r="A12" s="482" t="s">
        <v>80</v>
      </c>
      <c r="B12" s="483"/>
      <c r="C12" s="4"/>
      <c r="D12" s="167">
        <v>5000</v>
      </c>
      <c r="E12" s="161" t="s">
        <v>88</v>
      </c>
      <c r="F12" s="161">
        <v>2125</v>
      </c>
      <c r="G12" s="312" t="s">
        <v>89</v>
      </c>
      <c r="H12" s="168">
        <v>4015066</v>
      </c>
      <c r="I12" s="168">
        <v>4015042</v>
      </c>
      <c r="J12" s="1">
        <v>4015054</v>
      </c>
      <c r="K12" s="161">
        <v>4015078</v>
      </c>
      <c r="L12" s="169">
        <v>4015090</v>
      </c>
      <c r="M12" s="4"/>
      <c r="T12" s="306">
        <v>3000</v>
      </c>
      <c r="U12" s="307" t="s">
        <v>88</v>
      </c>
      <c r="V12" s="307">
        <v>3000</v>
      </c>
      <c r="W12" s="313" t="s">
        <v>89</v>
      </c>
      <c r="X12" s="364">
        <v>53236</v>
      </c>
      <c r="Y12" s="365">
        <v>53223</v>
      </c>
      <c r="Z12" s="365"/>
      <c r="AA12" s="366">
        <v>53249</v>
      </c>
      <c r="AB12" s="360">
        <v>53262</v>
      </c>
    </row>
    <row r="13" spans="1:28" x14ac:dyDescent="0.25">
      <c r="A13" s="317" t="s">
        <v>72</v>
      </c>
      <c r="B13" s="318">
        <v>4510039</v>
      </c>
      <c r="C13" s="4"/>
      <c r="D13" s="167">
        <v>5000</v>
      </c>
      <c r="E13" s="161" t="s">
        <v>88</v>
      </c>
      <c r="F13" s="161">
        <v>2250</v>
      </c>
      <c r="G13" s="312" t="s">
        <v>89</v>
      </c>
      <c r="H13" s="168">
        <v>4015070</v>
      </c>
      <c r="I13" s="168">
        <v>4015046</v>
      </c>
      <c r="J13" s="1">
        <v>4015058</v>
      </c>
      <c r="K13" s="161">
        <v>4015082</v>
      </c>
      <c r="L13" s="169">
        <v>4015094</v>
      </c>
      <c r="M13" s="4"/>
      <c r="T13" s="306">
        <v>4000</v>
      </c>
      <c r="U13" s="307" t="s">
        <v>88</v>
      </c>
      <c r="V13" s="307">
        <v>2500</v>
      </c>
      <c r="W13" s="313" t="s">
        <v>89</v>
      </c>
      <c r="X13" s="364"/>
      <c r="Y13" s="365"/>
      <c r="Z13" s="365"/>
      <c r="AA13" s="366"/>
      <c r="AB13" s="360"/>
    </row>
    <row r="14" spans="1:28" ht="15.75" thickBot="1" x14ac:dyDescent="0.3">
      <c r="A14" s="177" t="s">
        <v>160</v>
      </c>
      <c r="B14" s="299">
        <v>4512591</v>
      </c>
      <c r="C14" s="4"/>
      <c r="D14" s="170">
        <v>5000</v>
      </c>
      <c r="E14" s="171" t="s">
        <v>88</v>
      </c>
      <c r="F14" s="171">
        <v>2500</v>
      </c>
      <c r="G14" s="314" t="s">
        <v>89</v>
      </c>
      <c r="H14" s="172">
        <v>4015271</v>
      </c>
      <c r="I14" s="172">
        <v>4015265</v>
      </c>
      <c r="J14" s="173">
        <v>4015268</v>
      </c>
      <c r="K14" s="171">
        <v>4015274</v>
      </c>
      <c r="L14" s="174">
        <v>4015277</v>
      </c>
      <c r="M14" s="4"/>
      <c r="T14" s="167">
        <v>5000</v>
      </c>
      <c r="U14" s="161" t="s">
        <v>88</v>
      </c>
      <c r="V14" s="161">
        <v>2125</v>
      </c>
      <c r="W14" s="312" t="s">
        <v>89</v>
      </c>
      <c r="X14" s="349">
        <v>53237</v>
      </c>
      <c r="Y14" s="349">
        <v>53224</v>
      </c>
      <c r="Z14" s="349"/>
      <c r="AA14" s="363">
        <v>53250</v>
      </c>
      <c r="AB14" s="359">
        <v>53263</v>
      </c>
    </row>
    <row r="15" spans="1:28" ht="15.75" thickBot="1" x14ac:dyDescent="0.3">
      <c r="A15" s="319" t="s">
        <v>154</v>
      </c>
      <c r="B15" s="305">
        <v>4512106</v>
      </c>
      <c r="C15" s="4"/>
      <c r="D15" s="4"/>
      <c r="E15" s="4"/>
      <c r="F15" s="163"/>
      <c r="G15" s="163"/>
      <c r="H15" s="163"/>
      <c r="I15" s="161"/>
      <c r="J15" s="4"/>
      <c r="K15" s="163"/>
      <c r="L15" s="161"/>
      <c r="M15" s="4"/>
      <c r="T15" s="167">
        <v>5000</v>
      </c>
      <c r="U15" s="161" t="s">
        <v>88</v>
      </c>
      <c r="V15" s="161">
        <v>2250</v>
      </c>
      <c r="W15" s="312" t="s">
        <v>89</v>
      </c>
      <c r="X15" s="349">
        <v>53238</v>
      </c>
      <c r="Y15" s="349">
        <v>53225</v>
      </c>
      <c r="Z15" s="349"/>
      <c r="AA15" s="363">
        <v>53251</v>
      </c>
      <c r="AB15" s="359">
        <v>53264</v>
      </c>
    </row>
    <row r="16" spans="1:28" ht="15.75" thickBot="1" x14ac:dyDescent="0.3">
      <c r="A16" s="482" t="s">
        <v>81</v>
      </c>
      <c r="B16" s="483"/>
      <c r="C16" s="4"/>
      <c r="D16" s="4"/>
      <c r="E16" s="4"/>
      <c r="F16" s="163"/>
      <c r="G16" s="163"/>
      <c r="H16" s="163"/>
      <c r="I16" s="161"/>
      <c r="J16" s="4"/>
      <c r="K16" s="163"/>
      <c r="L16" s="161"/>
      <c r="M16" s="4"/>
      <c r="T16" s="170">
        <v>5000</v>
      </c>
      <c r="U16" s="171" t="s">
        <v>88</v>
      </c>
      <c r="V16" s="171">
        <v>2500</v>
      </c>
      <c r="W16" s="314" t="s">
        <v>89</v>
      </c>
      <c r="X16" s="367">
        <v>53239</v>
      </c>
      <c r="Y16" s="367">
        <v>53226</v>
      </c>
      <c r="Z16" s="367"/>
      <c r="AA16" s="368">
        <v>53252</v>
      </c>
      <c r="AB16" s="361">
        <v>53265</v>
      </c>
    </row>
    <row r="17" spans="1:28" ht="24" thickBot="1" x14ac:dyDescent="0.4">
      <c r="A17" s="175" t="s">
        <v>82</v>
      </c>
      <c r="B17" s="179">
        <v>435210</v>
      </c>
      <c r="C17" s="4"/>
      <c r="D17" s="4"/>
      <c r="E17" s="4"/>
      <c r="F17" s="163"/>
      <c r="G17" s="163"/>
      <c r="H17" s="163"/>
      <c r="I17" s="161"/>
      <c r="J17" s="4"/>
      <c r="K17" s="163"/>
      <c r="L17" s="161"/>
      <c r="M17" s="4"/>
      <c r="T17" s="334" t="s">
        <v>162</v>
      </c>
      <c r="V17" s="162"/>
      <c r="W17" s="162"/>
      <c r="X17" s="338"/>
      <c r="Y17" s="338"/>
      <c r="AA17" s="343"/>
      <c r="AB17" s="343"/>
    </row>
    <row r="18" spans="1:28" ht="30.75" thickBot="1" x14ac:dyDescent="0.3">
      <c r="A18" s="175" t="s">
        <v>83</v>
      </c>
      <c r="B18" s="179">
        <v>435211</v>
      </c>
      <c r="C18" s="4"/>
      <c r="D18" s="4"/>
      <c r="E18" s="4"/>
      <c r="F18" s="163"/>
      <c r="G18" s="163"/>
      <c r="H18" s="163"/>
      <c r="I18" s="161"/>
      <c r="J18" s="4"/>
      <c r="K18" s="163"/>
      <c r="L18" s="161"/>
      <c r="M18" s="4"/>
      <c r="T18" s="480" t="s">
        <v>115</v>
      </c>
      <c r="U18" s="481"/>
      <c r="V18" s="481"/>
      <c r="W18" s="311"/>
      <c r="X18" s="331" t="s">
        <v>92</v>
      </c>
      <c r="Y18" s="331" t="s">
        <v>93</v>
      </c>
      <c r="Z18" s="331" t="s">
        <v>94</v>
      </c>
      <c r="AA18" s="341" t="s">
        <v>90</v>
      </c>
      <c r="AB18" s="330" t="s">
        <v>91</v>
      </c>
    </row>
    <row r="19" spans="1:28" ht="15.75" thickBot="1" x14ac:dyDescent="0.3">
      <c r="A19" s="175" t="s">
        <v>84</v>
      </c>
      <c r="B19" s="179">
        <v>435212</v>
      </c>
      <c r="C19" s="4"/>
      <c r="D19" s="4"/>
      <c r="E19" s="4"/>
      <c r="F19" s="163"/>
      <c r="G19" s="163"/>
      <c r="H19" s="163"/>
      <c r="I19" s="161"/>
      <c r="J19" s="4"/>
      <c r="K19" s="163"/>
      <c r="L19" s="161"/>
      <c r="M19" s="4"/>
      <c r="T19" s="345">
        <v>2500</v>
      </c>
      <c r="U19" s="346" t="s">
        <v>88</v>
      </c>
      <c r="V19" s="346">
        <v>2125</v>
      </c>
      <c r="W19" s="347" t="s">
        <v>87</v>
      </c>
      <c r="X19" s="348">
        <v>53278</v>
      </c>
      <c r="Y19" s="348">
        <v>53266</v>
      </c>
      <c r="Z19" s="348"/>
      <c r="AA19" s="362">
        <v>53290</v>
      </c>
      <c r="AB19" s="358">
        <v>53302</v>
      </c>
    </row>
    <row r="20" spans="1:28" ht="15.75" thickBot="1" x14ac:dyDescent="0.3">
      <c r="A20" s="482" t="s">
        <v>85</v>
      </c>
      <c r="B20" s="483"/>
      <c r="C20" s="4"/>
      <c r="M20" s="4"/>
      <c r="T20" s="167">
        <v>2500</v>
      </c>
      <c r="U20" s="161" t="s">
        <v>88</v>
      </c>
      <c r="V20" s="161">
        <v>2250</v>
      </c>
      <c r="W20" s="312" t="s">
        <v>87</v>
      </c>
      <c r="X20" s="349">
        <v>53279</v>
      </c>
      <c r="Y20" s="349">
        <v>53267</v>
      </c>
      <c r="Z20" s="349"/>
      <c r="AA20" s="363">
        <v>53291</v>
      </c>
      <c r="AB20" s="359">
        <v>53303</v>
      </c>
    </row>
    <row r="21" spans="1:28" x14ac:dyDescent="0.25">
      <c r="A21" s="175" t="s">
        <v>57</v>
      </c>
      <c r="B21" s="299">
        <v>4549112</v>
      </c>
      <c r="C21" s="4"/>
      <c r="M21" s="4"/>
      <c r="T21" s="306">
        <v>2500</v>
      </c>
      <c r="U21" s="307" t="s">
        <v>88</v>
      </c>
      <c r="V21" s="307">
        <v>2500</v>
      </c>
      <c r="W21" s="313" t="s">
        <v>87</v>
      </c>
      <c r="X21" s="364">
        <v>53280</v>
      </c>
      <c r="Y21" s="365">
        <v>53268</v>
      </c>
      <c r="Z21" s="365"/>
      <c r="AA21" s="366">
        <v>53292</v>
      </c>
      <c r="AB21" s="360">
        <v>53304</v>
      </c>
    </row>
    <row r="22" spans="1:28" ht="15.75" thickBot="1" x14ac:dyDescent="0.3">
      <c r="A22" s="180" t="s">
        <v>86</v>
      </c>
      <c r="B22" s="300">
        <v>4510041</v>
      </c>
      <c r="C22" s="4"/>
      <c r="M22" s="4"/>
      <c r="T22" s="167">
        <v>2750</v>
      </c>
      <c r="U22" s="161" t="s">
        <v>88</v>
      </c>
      <c r="V22" s="161">
        <v>2125</v>
      </c>
      <c r="W22" s="312" t="s">
        <v>87</v>
      </c>
      <c r="X22" s="349">
        <v>53281</v>
      </c>
      <c r="Y22" s="349">
        <v>53269</v>
      </c>
      <c r="Z22" s="349"/>
      <c r="AA22" s="363">
        <v>53293</v>
      </c>
      <c r="AB22" s="359">
        <v>53305</v>
      </c>
    </row>
    <row r="23" spans="1:28" x14ac:dyDescent="0.25">
      <c r="A23" s="234"/>
      <c r="B23" s="4"/>
      <c r="C23" s="4"/>
      <c r="M23" s="4"/>
      <c r="T23" s="167">
        <v>2750</v>
      </c>
      <c r="U23" s="161" t="s">
        <v>88</v>
      </c>
      <c r="V23" s="161">
        <v>2250</v>
      </c>
      <c r="W23" s="312" t="s">
        <v>87</v>
      </c>
      <c r="X23" s="349">
        <v>53282</v>
      </c>
      <c r="Y23" s="349">
        <v>53270</v>
      </c>
      <c r="Z23" s="349"/>
      <c r="AA23" s="363">
        <v>53294</v>
      </c>
      <c r="AB23" s="359">
        <v>53306</v>
      </c>
    </row>
    <row r="24" spans="1:28" x14ac:dyDescent="0.25">
      <c r="T24" s="306">
        <v>2750</v>
      </c>
      <c r="U24" s="307" t="s">
        <v>88</v>
      </c>
      <c r="V24" s="307">
        <v>2500</v>
      </c>
      <c r="W24" s="313" t="s">
        <v>87</v>
      </c>
      <c r="X24" s="364">
        <v>53283</v>
      </c>
      <c r="Y24" s="365">
        <v>53271</v>
      </c>
      <c r="Z24" s="365"/>
      <c r="AA24" s="366">
        <v>53295</v>
      </c>
      <c r="AB24" s="360">
        <v>53307</v>
      </c>
    </row>
    <row r="25" spans="1:28" x14ac:dyDescent="0.25">
      <c r="T25" s="167">
        <v>3000</v>
      </c>
      <c r="U25" s="161" t="s">
        <v>88</v>
      </c>
      <c r="V25" s="161">
        <v>2125</v>
      </c>
      <c r="W25" s="312" t="s">
        <v>87</v>
      </c>
      <c r="X25" s="349">
        <v>53284</v>
      </c>
      <c r="Y25" s="349">
        <v>53272</v>
      </c>
      <c r="Z25" s="349"/>
      <c r="AA25" s="363">
        <v>53296</v>
      </c>
      <c r="AB25" s="359">
        <v>53308</v>
      </c>
    </row>
    <row r="26" spans="1:28" x14ac:dyDescent="0.25">
      <c r="T26" s="167">
        <v>3000</v>
      </c>
      <c r="U26" s="161" t="s">
        <v>88</v>
      </c>
      <c r="V26" s="161">
        <v>2250</v>
      </c>
      <c r="W26" s="312" t="s">
        <v>87</v>
      </c>
      <c r="X26" s="349">
        <v>53285</v>
      </c>
      <c r="Y26" s="349">
        <v>53273</v>
      </c>
      <c r="Z26" s="349"/>
      <c r="AA26" s="363">
        <v>53297</v>
      </c>
      <c r="AB26" s="359">
        <v>53309</v>
      </c>
    </row>
    <row r="27" spans="1:28" x14ac:dyDescent="0.25">
      <c r="T27" s="167">
        <v>3000</v>
      </c>
      <c r="U27" s="161" t="s">
        <v>88</v>
      </c>
      <c r="V27" s="161">
        <v>2500</v>
      </c>
      <c r="W27" s="312" t="s">
        <v>87</v>
      </c>
      <c r="X27" s="349">
        <v>53286</v>
      </c>
      <c r="Y27" s="349">
        <v>53274</v>
      </c>
      <c r="Z27" s="349"/>
      <c r="AA27" s="363">
        <v>53298</v>
      </c>
      <c r="AB27" s="359">
        <v>53310</v>
      </c>
    </row>
    <row r="28" spans="1:28" x14ac:dyDescent="0.25">
      <c r="T28" s="306">
        <v>3000</v>
      </c>
      <c r="U28" s="307" t="s">
        <v>88</v>
      </c>
      <c r="V28" s="307">
        <v>3000</v>
      </c>
      <c r="W28" s="313" t="s">
        <v>89</v>
      </c>
      <c r="X28" s="364">
        <v>53287</v>
      </c>
      <c r="Y28" s="365">
        <v>53275</v>
      </c>
      <c r="Z28" s="365"/>
      <c r="AA28" s="366">
        <v>53299</v>
      </c>
      <c r="AB28" s="360">
        <v>53311</v>
      </c>
    </row>
    <row r="29" spans="1:28" x14ac:dyDescent="0.25">
      <c r="T29" s="167">
        <v>5000</v>
      </c>
      <c r="U29" s="161" t="s">
        <v>88</v>
      </c>
      <c r="V29" s="161">
        <v>2125</v>
      </c>
      <c r="W29" s="312" t="s">
        <v>89</v>
      </c>
      <c r="X29" s="349">
        <v>53288</v>
      </c>
      <c r="Y29" s="349">
        <v>53276</v>
      </c>
      <c r="Z29" s="349"/>
      <c r="AA29" s="363">
        <v>53300</v>
      </c>
      <c r="AB29" s="359">
        <v>53312</v>
      </c>
    </row>
    <row r="30" spans="1:28" x14ac:dyDescent="0.25">
      <c r="T30" s="167">
        <v>5000</v>
      </c>
      <c r="U30" s="161" t="s">
        <v>88</v>
      </c>
      <c r="V30" s="161">
        <v>2250</v>
      </c>
      <c r="W30" s="312" t="s">
        <v>89</v>
      </c>
      <c r="X30" s="349">
        <v>53289</v>
      </c>
      <c r="Y30" s="349">
        <v>53277</v>
      </c>
      <c r="Z30" s="349"/>
      <c r="AA30" s="363">
        <v>53301</v>
      </c>
      <c r="AB30" s="359">
        <v>53313</v>
      </c>
    </row>
    <row r="31" spans="1:28" ht="15.75" thickBot="1" x14ac:dyDescent="0.3">
      <c r="T31" s="170">
        <v>5000</v>
      </c>
      <c r="U31" s="171" t="s">
        <v>88</v>
      </c>
      <c r="V31" s="171">
        <v>2500</v>
      </c>
      <c r="W31" s="314" t="s">
        <v>89</v>
      </c>
      <c r="X31" s="367"/>
      <c r="Y31" s="367"/>
      <c r="Z31" s="367"/>
      <c r="AA31" s="368"/>
      <c r="AB31" s="361"/>
    </row>
    <row r="32" spans="1:28" ht="24" thickBot="1" x14ac:dyDescent="0.4">
      <c r="T32" s="334" t="s">
        <v>163</v>
      </c>
      <c r="V32" s="162"/>
      <c r="W32" s="162"/>
      <c r="X32" s="338"/>
      <c r="Y32" s="338"/>
      <c r="AA32" s="343"/>
      <c r="AB32" s="343"/>
    </row>
    <row r="33" spans="20:28" ht="30.75" thickBot="1" x14ac:dyDescent="0.3">
      <c r="T33" s="480" t="s">
        <v>115</v>
      </c>
      <c r="U33" s="481"/>
      <c r="V33" s="481"/>
      <c r="W33" s="311"/>
      <c r="X33" s="333" t="s">
        <v>92</v>
      </c>
      <c r="Y33" s="333" t="s">
        <v>93</v>
      </c>
      <c r="Z33" s="333" t="s">
        <v>94</v>
      </c>
      <c r="AA33" s="341" t="s">
        <v>90</v>
      </c>
      <c r="AB33" s="332" t="s">
        <v>91</v>
      </c>
    </row>
    <row r="34" spans="20:28" x14ac:dyDescent="0.25">
      <c r="T34" s="345">
        <v>2500</v>
      </c>
      <c r="U34" s="346" t="s">
        <v>88</v>
      </c>
      <c r="V34" s="346">
        <v>2125</v>
      </c>
      <c r="W34" s="347" t="s">
        <v>87</v>
      </c>
      <c r="X34" s="348">
        <v>53327</v>
      </c>
      <c r="Y34" s="348">
        <v>53314</v>
      </c>
      <c r="Z34" s="348"/>
      <c r="AA34" s="362">
        <v>53340</v>
      </c>
      <c r="AB34" s="358">
        <v>53353</v>
      </c>
    </row>
    <row r="35" spans="20:28" x14ac:dyDescent="0.25">
      <c r="T35" s="167">
        <v>2500</v>
      </c>
      <c r="U35" s="161" t="s">
        <v>88</v>
      </c>
      <c r="V35" s="161">
        <v>2250</v>
      </c>
      <c r="W35" s="312" t="s">
        <v>87</v>
      </c>
      <c r="X35" s="349">
        <v>53328</v>
      </c>
      <c r="Y35" s="349">
        <v>53315</v>
      </c>
      <c r="Z35" s="349"/>
      <c r="AA35" s="363">
        <v>53341</v>
      </c>
      <c r="AB35" s="359">
        <v>53354</v>
      </c>
    </row>
    <row r="36" spans="20:28" x14ac:dyDescent="0.25">
      <c r="T36" s="306">
        <v>2500</v>
      </c>
      <c r="U36" s="307" t="s">
        <v>88</v>
      </c>
      <c r="V36" s="307">
        <v>2500</v>
      </c>
      <c r="W36" s="313" t="s">
        <v>87</v>
      </c>
      <c r="X36" s="364">
        <v>53329</v>
      </c>
      <c r="Y36" s="365">
        <v>53316</v>
      </c>
      <c r="Z36" s="365"/>
      <c r="AA36" s="366">
        <v>53342</v>
      </c>
      <c r="AB36" s="360">
        <v>53355</v>
      </c>
    </row>
    <row r="37" spans="20:28" x14ac:dyDescent="0.25">
      <c r="T37" s="167">
        <v>2750</v>
      </c>
      <c r="U37" s="161" t="s">
        <v>88</v>
      </c>
      <c r="V37" s="161">
        <v>2125</v>
      </c>
      <c r="W37" s="312" t="s">
        <v>87</v>
      </c>
      <c r="X37" s="349">
        <v>53330</v>
      </c>
      <c r="Y37" s="349">
        <v>53317</v>
      </c>
      <c r="Z37" s="349"/>
      <c r="AA37" s="363">
        <v>53343</v>
      </c>
      <c r="AB37" s="359">
        <v>53356</v>
      </c>
    </row>
    <row r="38" spans="20:28" x14ac:dyDescent="0.25">
      <c r="T38" s="167">
        <v>2750</v>
      </c>
      <c r="U38" s="161" t="s">
        <v>88</v>
      </c>
      <c r="V38" s="161">
        <v>2250</v>
      </c>
      <c r="W38" s="312" t="s">
        <v>87</v>
      </c>
      <c r="X38" s="349">
        <v>53331</v>
      </c>
      <c r="Y38" s="349">
        <v>53318</v>
      </c>
      <c r="Z38" s="349"/>
      <c r="AA38" s="363">
        <v>53344</v>
      </c>
      <c r="AB38" s="359">
        <v>53357</v>
      </c>
    </row>
    <row r="39" spans="20:28" x14ac:dyDescent="0.25">
      <c r="T39" s="306">
        <v>2750</v>
      </c>
      <c r="U39" s="307" t="s">
        <v>88</v>
      </c>
      <c r="V39" s="307">
        <v>2500</v>
      </c>
      <c r="W39" s="313" t="s">
        <v>87</v>
      </c>
      <c r="X39" s="364">
        <v>53332</v>
      </c>
      <c r="Y39" s="365">
        <v>53319</v>
      </c>
      <c r="Z39" s="365"/>
      <c r="AA39" s="366">
        <v>53345</v>
      </c>
      <c r="AB39" s="360">
        <v>53358</v>
      </c>
    </row>
    <row r="40" spans="20:28" x14ac:dyDescent="0.25">
      <c r="T40" s="167">
        <v>3000</v>
      </c>
      <c r="U40" s="161" t="s">
        <v>88</v>
      </c>
      <c r="V40" s="161">
        <v>2125</v>
      </c>
      <c r="W40" s="312" t="s">
        <v>87</v>
      </c>
      <c r="X40" s="349">
        <v>53333</v>
      </c>
      <c r="Y40" s="349">
        <v>53320</v>
      </c>
      <c r="Z40" s="349"/>
      <c r="AA40" s="363">
        <v>53346</v>
      </c>
      <c r="AB40" s="359">
        <v>53359</v>
      </c>
    </row>
    <row r="41" spans="20:28" x14ac:dyDescent="0.25">
      <c r="T41" s="167">
        <v>3000</v>
      </c>
      <c r="U41" s="161" t="s">
        <v>88</v>
      </c>
      <c r="V41" s="161">
        <v>2250</v>
      </c>
      <c r="W41" s="312" t="s">
        <v>87</v>
      </c>
      <c r="X41" s="349">
        <v>53334</v>
      </c>
      <c r="Y41" s="349">
        <v>53321</v>
      </c>
      <c r="Z41" s="349"/>
      <c r="AA41" s="363">
        <v>53347</v>
      </c>
      <c r="AB41" s="359">
        <v>53360</v>
      </c>
    </row>
    <row r="42" spans="20:28" x14ac:dyDescent="0.25">
      <c r="T42" s="167">
        <v>3000</v>
      </c>
      <c r="U42" s="161" t="s">
        <v>88</v>
      </c>
      <c r="V42" s="161">
        <v>2500</v>
      </c>
      <c r="W42" s="312" t="s">
        <v>87</v>
      </c>
      <c r="X42" s="349">
        <v>53335</v>
      </c>
      <c r="Y42" s="349">
        <v>53322</v>
      </c>
      <c r="Z42" s="349"/>
      <c r="AA42" s="363">
        <v>53348</v>
      </c>
      <c r="AB42" s="359">
        <v>53361</v>
      </c>
    </row>
    <row r="43" spans="20:28" x14ac:dyDescent="0.25">
      <c r="T43" s="306">
        <v>3000</v>
      </c>
      <c r="U43" s="307" t="s">
        <v>88</v>
      </c>
      <c r="V43" s="307">
        <v>3000</v>
      </c>
      <c r="W43" s="313" t="s">
        <v>89</v>
      </c>
      <c r="X43" s="364">
        <v>53336</v>
      </c>
      <c r="Y43" s="365">
        <v>53323</v>
      </c>
      <c r="Z43" s="365"/>
      <c r="AA43" s="366">
        <v>53349</v>
      </c>
      <c r="AB43" s="360">
        <v>53362</v>
      </c>
    </row>
    <row r="44" spans="20:28" x14ac:dyDescent="0.25">
      <c r="T44" s="306">
        <v>4000</v>
      </c>
      <c r="U44" s="307" t="s">
        <v>88</v>
      </c>
      <c r="V44" s="307">
        <v>2500</v>
      </c>
      <c r="W44" s="313" t="s">
        <v>89</v>
      </c>
      <c r="X44" s="364"/>
      <c r="Y44" s="365"/>
      <c r="Z44" s="365"/>
      <c r="AA44" s="366"/>
      <c r="AB44" s="360"/>
    </row>
    <row r="45" spans="20:28" x14ac:dyDescent="0.25">
      <c r="T45" s="167">
        <v>5000</v>
      </c>
      <c r="U45" s="161" t="s">
        <v>88</v>
      </c>
      <c r="V45" s="161">
        <v>2125</v>
      </c>
      <c r="W45" s="312" t="s">
        <v>89</v>
      </c>
      <c r="X45" s="349">
        <v>53337</v>
      </c>
      <c r="Y45" s="349">
        <v>53324</v>
      </c>
      <c r="Z45" s="349"/>
      <c r="AA45" s="363">
        <v>53350</v>
      </c>
      <c r="AB45" s="359">
        <v>53363</v>
      </c>
    </row>
    <row r="46" spans="20:28" x14ac:dyDescent="0.25">
      <c r="T46" s="167">
        <v>5000</v>
      </c>
      <c r="U46" s="161" t="s">
        <v>88</v>
      </c>
      <c r="V46" s="161">
        <v>2250</v>
      </c>
      <c r="W46" s="312" t="s">
        <v>89</v>
      </c>
      <c r="X46" s="349">
        <v>53338</v>
      </c>
      <c r="Y46" s="349">
        <v>53325</v>
      </c>
      <c r="Z46" s="349"/>
      <c r="AA46" s="363">
        <v>53351</v>
      </c>
      <c r="AB46" s="359">
        <v>53364</v>
      </c>
    </row>
    <row r="47" spans="20:28" ht="15.75" thickBot="1" x14ac:dyDescent="0.3">
      <c r="T47" s="170">
        <v>5000</v>
      </c>
      <c r="U47" s="171" t="s">
        <v>88</v>
      </c>
      <c r="V47" s="171">
        <v>2500</v>
      </c>
      <c r="W47" s="314" t="s">
        <v>89</v>
      </c>
      <c r="X47" s="367">
        <v>53339</v>
      </c>
      <c r="Y47" s="367">
        <v>53326</v>
      </c>
      <c r="Z47" s="367"/>
      <c r="AA47" s="368">
        <v>53352</v>
      </c>
      <c r="AB47" s="361">
        <v>53365</v>
      </c>
    </row>
    <row r="48" spans="20:28" ht="24" thickBot="1" x14ac:dyDescent="0.4">
      <c r="T48" s="334" t="s">
        <v>164</v>
      </c>
    </row>
    <row r="49" spans="20:25" ht="30.75" thickBot="1" x14ac:dyDescent="0.3">
      <c r="T49" s="480" t="s">
        <v>115</v>
      </c>
      <c r="U49" s="481"/>
      <c r="V49" s="481"/>
      <c r="W49" s="311"/>
      <c r="X49" s="357" t="s">
        <v>94</v>
      </c>
      <c r="Y49" s="352" t="s">
        <v>165</v>
      </c>
    </row>
    <row r="50" spans="20:25" x14ac:dyDescent="0.25">
      <c r="T50" s="167">
        <v>2500</v>
      </c>
      <c r="U50" s="161" t="s">
        <v>88</v>
      </c>
      <c r="V50" s="161">
        <v>2125</v>
      </c>
      <c r="W50" s="312" t="s">
        <v>87</v>
      </c>
      <c r="X50" s="353">
        <v>4015051</v>
      </c>
      <c r="Y50" s="358">
        <v>4015605</v>
      </c>
    </row>
    <row r="51" spans="20:25" x14ac:dyDescent="0.25">
      <c r="T51" s="167">
        <v>2500</v>
      </c>
      <c r="U51" s="161" t="s">
        <v>88</v>
      </c>
      <c r="V51" s="161">
        <v>2250</v>
      </c>
      <c r="W51" s="312" t="s">
        <v>87</v>
      </c>
      <c r="X51" s="354">
        <v>4015055</v>
      </c>
      <c r="Y51" s="359">
        <v>4015609</v>
      </c>
    </row>
    <row r="52" spans="20:25" x14ac:dyDescent="0.25">
      <c r="T52" s="306">
        <v>2500</v>
      </c>
      <c r="U52" s="307" t="s">
        <v>88</v>
      </c>
      <c r="V52" s="307">
        <v>2500</v>
      </c>
      <c r="W52" s="313" t="s">
        <v>87</v>
      </c>
      <c r="X52" s="355">
        <v>4015164</v>
      </c>
      <c r="Y52" s="360">
        <v>4015613</v>
      </c>
    </row>
    <row r="53" spans="20:25" x14ac:dyDescent="0.25">
      <c r="T53" s="167">
        <v>2750</v>
      </c>
      <c r="U53" s="161" t="s">
        <v>88</v>
      </c>
      <c r="V53" s="161">
        <v>2125</v>
      </c>
      <c r="W53" s="312" t="s">
        <v>87</v>
      </c>
      <c r="X53" s="354">
        <v>4015052</v>
      </c>
      <c r="Y53" s="359">
        <v>4015606</v>
      </c>
    </row>
    <row r="54" spans="20:25" x14ac:dyDescent="0.25">
      <c r="T54" s="167">
        <v>2750</v>
      </c>
      <c r="U54" s="161" t="s">
        <v>88</v>
      </c>
      <c r="V54" s="161">
        <v>2250</v>
      </c>
      <c r="W54" s="312" t="s">
        <v>87</v>
      </c>
      <c r="X54" s="354">
        <v>4015056</v>
      </c>
      <c r="Y54" s="359">
        <v>4015610</v>
      </c>
    </row>
    <row r="55" spans="20:25" x14ac:dyDescent="0.25">
      <c r="T55" s="306">
        <v>2750</v>
      </c>
      <c r="U55" s="307" t="s">
        <v>88</v>
      </c>
      <c r="V55" s="307">
        <v>2500</v>
      </c>
      <c r="W55" s="313" t="s">
        <v>87</v>
      </c>
      <c r="X55" s="355">
        <v>4015537</v>
      </c>
      <c r="Y55" s="360">
        <v>4015614</v>
      </c>
    </row>
    <row r="56" spans="20:25" x14ac:dyDescent="0.25">
      <c r="T56" s="167">
        <v>3000</v>
      </c>
      <c r="U56" s="161" t="s">
        <v>88</v>
      </c>
      <c r="V56" s="161">
        <v>2125</v>
      </c>
      <c r="W56" s="312" t="s">
        <v>87</v>
      </c>
      <c r="X56" s="354">
        <v>4015053</v>
      </c>
      <c r="Y56" s="359">
        <v>4015607</v>
      </c>
    </row>
    <row r="57" spans="20:25" x14ac:dyDescent="0.25">
      <c r="T57" s="167">
        <v>3000</v>
      </c>
      <c r="U57" s="161" t="s">
        <v>88</v>
      </c>
      <c r="V57" s="161">
        <v>2250</v>
      </c>
      <c r="W57" s="312" t="s">
        <v>87</v>
      </c>
      <c r="X57" s="354">
        <v>4015057</v>
      </c>
      <c r="Y57" s="359">
        <v>4015611</v>
      </c>
    </row>
    <row r="58" spans="20:25" x14ac:dyDescent="0.25">
      <c r="T58" s="167">
        <v>3000</v>
      </c>
      <c r="U58" s="161" t="s">
        <v>88</v>
      </c>
      <c r="V58" s="161">
        <v>2500</v>
      </c>
      <c r="W58" s="312" t="s">
        <v>87</v>
      </c>
      <c r="X58" s="354">
        <v>4015538</v>
      </c>
      <c r="Y58" s="359">
        <v>4015615</v>
      </c>
    </row>
    <row r="59" spans="20:25" x14ac:dyDescent="0.25">
      <c r="T59" s="306">
        <v>3000</v>
      </c>
      <c r="U59" s="307" t="s">
        <v>88</v>
      </c>
      <c r="V59" s="307">
        <v>3000</v>
      </c>
      <c r="W59" s="313" t="s">
        <v>89</v>
      </c>
      <c r="X59" s="355">
        <v>4015270</v>
      </c>
      <c r="Y59" s="360">
        <v>4015617</v>
      </c>
    </row>
    <row r="60" spans="20:25" x14ac:dyDescent="0.25">
      <c r="T60" s="167">
        <v>5000</v>
      </c>
      <c r="U60" s="161" t="s">
        <v>88</v>
      </c>
      <c r="V60" s="161">
        <v>2125</v>
      </c>
      <c r="W60" s="312" t="s">
        <v>89</v>
      </c>
      <c r="X60" s="354">
        <v>4015054</v>
      </c>
      <c r="Y60" s="359">
        <v>4015608</v>
      </c>
    </row>
    <row r="61" spans="20:25" x14ac:dyDescent="0.25">
      <c r="T61" s="167">
        <v>5000</v>
      </c>
      <c r="U61" s="161" t="s">
        <v>88</v>
      </c>
      <c r="V61" s="161">
        <v>2250</v>
      </c>
      <c r="W61" s="312" t="s">
        <v>89</v>
      </c>
      <c r="X61" s="354">
        <v>4015058</v>
      </c>
      <c r="Y61" s="359">
        <v>4015612</v>
      </c>
    </row>
    <row r="62" spans="20:25" ht="15.75" thickBot="1" x14ac:dyDescent="0.3">
      <c r="T62" s="170">
        <v>5000</v>
      </c>
      <c r="U62" s="171" t="s">
        <v>88</v>
      </c>
      <c r="V62" s="171">
        <v>2500</v>
      </c>
      <c r="W62" s="314" t="s">
        <v>89</v>
      </c>
      <c r="X62" s="356">
        <v>4015268</v>
      </c>
      <c r="Y62" s="361">
        <v>4015616</v>
      </c>
    </row>
  </sheetData>
  <mergeCells count="11">
    <mergeCell ref="T49:V49"/>
    <mergeCell ref="D1:F1"/>
    <mergeCell ref="A1:B1"/>
    <mergeCell ref="A5:B5"/>
    <mergeCell ref="A10:B10"/>
    <mergeCell ref="A12:B12"/>
    <mergeCell ref="T2:V2"/>
    <mergeCell ref="T18:V18"/>
    <mergeCell ref="T33:V33"/>
    <mergeCell ref="A20:B20"/>
    <mergeCell ref="A16:B16"/>
  </mergeCells>
  <pageMargins left="0.25" right="0.25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КУРС ЕВРО</vt:lpstr>
      <vt:lpstr>Ворота EP2018</vt:lpstr>
      <vt:lpstr>Двери EP2018(стандарт)</vt:lpstr>
      <vt:lpstr>Двери  EP2018 (расширенная)</vt:lpstr>
      <vt:lpstr>Для клиента (ворота)</vt:lpstr>
      <vt:lpstr>Для клиента (двери-1)</vt:lpstr>
      <vt:lpstr>Для клиента (двери-2)</vt:lpstr>
      <vt:lpstr>для обработчиков</vt:lpstr>
      <vt:lpstr>Артикулы 2018</vt:lpstr>
      <vt:lpstr>'Ворота EP2018'!Print_Area</vt:lpstr>
      <vt:lpstr>'Артикулы 2018'!Область_печати</vt:lpstr>
      <vt:lpstr>'Ворота EP2018'!Область_печати</vt:lpstr>
      <vt:lpstr>'Двери  EP2018 (расширенная)'!Область_печати</vt:lpstr>
      <vt:lpstr>'Двери EP2018(стандарт)'!Область_печати</vt:lpstr>
      <vt:lpstr>'Для клиента (ворота)'!Область_печати</vt:lpstr>
      <vt:lpstr>'Для клиента (двери-2)'!Область_печати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Алексей</dc:creator>
  <cp:lastModifiedBy>Nikolaev Aleksej</cp:lastModifiedBy>
  <cp:lastPrinted>2018-02-19T14:09:28Z</cp:lastPrinted>
  <dcterms:created xsi:type="dcterms:W3CDTF">2015-01-30T10:36:25Z</dcterms:created>
  <dcterms:modified xsi:type="dcterms:W3CDTF">2018-03-01T07:37:16Z</dcterms:modified>
</cp:coreProperties>
</file>